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9F4321A-F5DC-451A-B030-9DB2C4D587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E27" i="1"/>
  <c r="F27" i="1" s="1"/>
  <c r="G27" i="1" s="1"/>
  <c r="I27" i="1" s="1"/>
  <c r="Q27" i="1"/>
  <c r="F11" i="1"/>
  <c r="G11" i="1"/>
  <c r="E14" i="1"/>
  <c r="C17" i="1"/>
  <c r="A21" i="1"/>
  <c r="H20" i="1"/>
  <c r="C21" i="1"/>
  <c r="E21" i="1"/>
  <c r="F21" i="1"/>
  <c r="G21" i="1"/>
  <c r="H21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C12" i="1"/>
  <c r="C16" i="1" l="1"/>
  <c r="D18" i="1" s="1"/>
  <c r="E15" i="1"/>
  <c r="C11" i="1"/>
  <c r="O24" i="1" l="1"/>
  <c r="S24" i="1" s="1"/>
  <c r="O27" i="1"/>
  <c r="S27" i="1" s="1"/>
  <c r="O25" i="1"/>
  <c r="S25" i="1" s="1"/>
  <c r="O22" i="1"/>
  <c r="S22" i="1" s="1"/>
  <c r="O21" i="1"/>
  <c r="S21" i="1" s="1"/>
  <c r="O23" i="1"/>
  <c r="S23" i="1" s="1"/>
  <c r="O26" i="1"/>
  <c r="S26" i="1" s="1"/>
  <c r="C15" i="1"/>
  <c r="C18" i="1" s="1"/>
  <c r="S19" i="1" l="1"/>
  <c r="E16" i="1"/>
  <c r="E17" i="1" s="1"/>
</calcChain>
</file>

<file path=xl/sharedStrings.xml><?xml version="1.0" encoding="utf-8"?>
<sst xmlns="http://schemas.openxmlformats.org/spreadsheetml/2006/main" count="67" uniqueCount="57">
  <si>
    <t>G5481-1160_Sex.xls</t>
  </si>
  <si>
    <t>System Type:</t>
  </si>
  <si>
    <t>EA / EB</t>
  </si>
  <si>
    <t>Constell:</t>
  </si>
  <si>
    <t>Sex</t>
  </si>
  <si>
    <t>G5481-1160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</si>
  <si>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</si>
  <si>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</si>
  <si>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</si>
  <si>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</si>
  <si>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</si>
  <si>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</si>
  <si>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</si>
  <si>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</si>
  <si>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</si>
  <si>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</si>
  <si>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</si>
  <si>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</si>
  <si>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</si>
  <si>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</si>
  <si>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</si>
  <si>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</si>
  <si>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</si>
  <si>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</si>
  <si>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</si>
  <si>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</si>
  <si>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</si>
  <si>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</si>
  <si>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</si>
  <si>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</si>
  <si>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</si>
  <si>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</si>
  <si>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</si>
  <si>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</si>
  <si>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</si>
  <si>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</si>
  <si>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</si>
  <si>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</si>
  <si>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S3</t>
  </si>
  <si>
    <t>S4</t>
  </si>
  <si>
    <t>S5</t>
  </si>
  <si>
    <t>S6</t>
  </si>
  <si>
    <t>Misc</t>
  </si>
  <si>
    <t>Lin Fit</t>
  </si>
  <si>
    <t>Q. Fit</t>
  </si>
  <si>
    <t>Date</t>
  </si>
  <si>
    <t>BAD</t>
  </si>
  <si>
    <t>IBVS 5992</t>
  </si>
  <si>
    <t>I</t>
  </si>
  <si>
    <t>IBVS 6029</t>
  </si>
  <si>
    <t>VSB 069</t>
  </si>
  <si>
    <t>II</t>
  </si>
  <si>
    <t>Ic</t>
  </si>
  <si>
    <t>VSB, 91</t>
  </si>
  <si>
    <t>B</t>
  </si>
  <si>
    <t>CR Sex / GSC 5481-1160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</si>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</sst>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2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</cellStyleXfs>
  <cellXfs count="3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3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vertical="center"/>
    </xf>
    <xf numFmtId="0" fontId="9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</a:t>
            </a:r>
            <a:r>
              <a:rPr lang="en-AU" baseline="0"/>
              <a:t> Sex  - 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358101188317285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2344303915948"/>
          <c:y val="0.1401407706919518"/>
          <c:w val="0.81921805836677553"/>
          <c:h val="0.651653228031180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20889.5</c:v>
                </c:pt>
                <c:pt idx="2">
                  <c:v>21316.5</c:v>
                </c:pt>
                <c:pt idx="3">
                  <c:v>21415.5</c:v>
                </c:pt>
                <c:pt idx="4">
                  <c:v>25302.5</c:v>
                </c:pt>
                <c:pt idx="5">
                  <c:v>25771.5</c:v>
                </c:pt>
                <c:pt idx="6">
                  <c:v>25771.5</c:v>
                </c:pt>
              </c:numCache>
            </c:numRef>
          </c:xVal>
          <c:yVal>
            <c:numRef>
              <c:f>Active!$H$21:$H$500</c:f>
              <c:numCache>
                <c:formatCode>General</c:formatCode>
                <c:ptCount val="4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06-4A0D-87F3-FBB2A166063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20889.5</c:v>
                </c:pt>
                <c:pt idx="2">
                  <c:v>21316.5</c:v>
                </c:pt>
                <c:pt idx="3">
                  <c:v>21415.5</c:v>
                </c:pt>
                <c:pt idx="4">
                  <c:v>25302.5</c:v>
                </c:pt>
                <c:pt idx="5">
                  <c:v>25771.5</c:v>
                </c:pt>
                <c:pt idx="6">
                  <c:v>25771.5</c:v>
                </c:pt>
              </c:numCache>
            </c:numRef>
          </c:xVal>
          <c:yVal>
            <c:numRef>
              <c:f>Active!$I$21:$I$500</c:f>
              <c:numCache>
                <c:formatCode>General</c:formatCode>
                <c:ptCount val="480"/>
                <c:pt idx="1">
                  <c:v>0.12477806018432602</c:v>
                </c:pt>
                <c:pt idx="2">
                  <c:v>0.13375162018201081</c:v>
                </c:pt>
                <c:pt idx="3">
                  <c:v>0.12617734018567717</c:v>
                </c:pt>
                <c:pt idx="4">
                  <c:v>-0.17286029981187312</c:v>
                </c:pt>
                <c:pt idx="5">
                  <c:v>-0.17309097992256284</c:v>
                </c:pt>
                <c:pt idx="6">
                  <c:v>-0.16509098000824451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06-4A0D-87F3-FBB2A166063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20889.5</c:v>
                </c:pt>
                <c:pt idx="2">
                  <c:v>21316.5</c:v>
                </c:pt>
                <c:pt idx="3">
                  <c:v>21415.5</c:v>
                </c:pt>
                <c:pt idx="4">
                  <c:v>25302.5</c:v>
                </c:pt>
                <c:pt idx="5">
                  <c:v>25771.5</c:v>
                </c:pt>
                <c:pt idx="6">
                  <c:v>25771.5</c:v>
                </c:pt>
              </c:numCache>
            </c:numRef>
          </c:xVal>
          <c:yVal>
            <c:numRef>
              <c:f>Active!$J$21:$J$500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06-4A0D-87F3-FBB2A166063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20889.5</c:v>
                </c:pt>
                <c:pt idx="2">
                  <c:v>21316.5</c:v>
                </c:pt>
                <c:pt idx="3">
                  <c:v>21415.5</c:v>
                </c:pt>
                <c:pt idx="4">
                  <c:v>25302.5</c:v>
                </c:pt>
                <c:pt idx="5">
                  <c:v>25771.5</c:v>
                </c:pt>
                <c:pt idx="6">
                  <c:v>25771.5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06-4A0D-87F3-FBB2A166063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20889.5</c:v>
                </c:pt>
                <c:pt idx="2">
                  <c:v>21316.5</c:v>
                </c:pt>
                <c:pt idx="3">
                  <c:v>21415.5</c:v>
                </c:pt>
                <c:pt idx="4">
                  <c:v>25302.5</c:v>
                </c:pt>
                <c:pt idx="5">
                  <c:v>25771.5</c:v>
                </c:pt>
                <c:pt idx="6">
                  <c:v>25771.5</c:v>
                </c:pt>
              </c:numCache>
            </c:numRef>
          </c:xVal>
          <c:yVal>
            <c:numRef>
              <c:f>Active!$L$21:$L$500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06-4A0D-87F3-FBB2A16606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20889.5</c:v>
                </c:pt>
                <c:pt idx="2">
                  <c:v>21316.5</c:v>
                </c:pt>
                <c:pt idx="3">
                  <c:v>21415.5</c:v>
                </c:pt>
                <c:pt idx="4">
                  <c:v>25302.5</c:v>
                </c:pt>
                <c:pt idx="5">
                  <c:v>25771.5</c:v>
                </c:pt>
                <c:pt idx="6">
                  <c:v>25771.5</c:v>
                </c:pt>
              </c:numCache>
            </c:numRef>
          </c:xVal>
          <c:yVal>
            <c:numRef>
              <c:f>Active!$M$21:$M$500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06-4A0D-87F3-FBB2A16606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20889.5</c:v>
                </c:pt>
                <c:pt idx="2">
                  <c:v>21316.5</c:v>
                </c:pt>
                <c:pt idx="3">
                  <c:v>21415.5</c:v>
                </c:pt>
                <c:pt idx="4">
                  <c:v>25302.5</c:v>
                </c:pt>
                <c:pt idx="5">
                  <c:v>25771.5</c:v>
                </c:pt>
                <c:pt idx="6">
                  <c:v>25771.5</c:v>
                </c:pt>
              </c:numCache>
            </c:numRef>
          </c:xVal>
          <c:yVal>
            <c:numRef>
              <c:f>Active!$N$21:$N$500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06-4A0D-87F3-FBB2A16606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20889.5</c:v>
                </c:pt>
                <c:pt idx="2">
                  <c:v>21316.5</c:v>
                </c:pt>
                <c:pt idx="3">
                  <c:v>21415.5</c:v>
                </c:pt>
                <c:pt idx="4">
                  <c:v>25302.5</c:v>
                </c:pt>
                <c:pt idx="5">
                  <c:v>25771.5</c:v>
                </c:pt>
                <c:pt idx="6">
                  <c:v>25771.5</c:v>
                </c:pt>
              </c:numCache>
            </c:numRef>
          </c:xVal>
          <c:yVal>
            <c:numRef>
              <c:f>Active!$O$21:$O$500</c:f>
              <c:numCache>
                <c:formatCode>General</c:formatCode>
                <c:ptCount val="480"/>
                <c:pt idx="0">
                  <c:v>7.819115169776987E-2</c:v>
                </c:pt>
                <c:pt idx="1">
                  <c:v>-2.1993933929511794E-2</c:v>
                </c:pt>
                <c:pt idx="2">
                  <c:v>-2.404180638040096E-2</c:v>
                </c:pt>
                <c:pt idx="3">
                  <c:v>-2.4516605847937328E-2</c:v>
                </c:pt>
                <c:pt idx="4">
                  <c:v>-4.3158479891511559E-2</c:v>
                </c:pt>
                <c:pt idx="5">
                  <c:v>-4.5407782419537357E-2</c:v>
                </c:pt>
                <c:pt idx="6">
                  <c:v>-4.5407782419537357E-2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06-4A0D-87F3-FBB2A166063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20889.5</c:v>
                </c:pt>
                <c:pt idx="2">
                  <c:v>21316.5</c:v>
                </c:pt>
                <c:pt idx="3">
                  <c:v>21415.5</c:v>
                </c:pt>
                <c:pt idx="4">
                  <c:v>25302.5</c:v>
                </c:pt>
                <c:pt idx="5">
                  <c:v>25771.5</c:v>
                </c:pt>
                <c:pt idx="6">
                  <c:v>25771.5</c:v>
                </c:pt>
              </c:numCache>
            </c:numRef>
          </c:xVal>
          <c:yVal>
            <c:numRef>
              <c:f>Active!$R$21:$R$500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06-4A0D-87F3-FBB2A1660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9760"/>
        <c:axId val="1"/>
      </c:scatterChart>
      <c:valAx>
        <c:axId val="72849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9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276390042626542"/>
          <c:y val="0.91591875339906836"/>
          <c:w val="0.7251119093025705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61FF97-9D3B-4CE8-F171-A86EDBB32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55</v>
      </c>
      <c r="E1" s="1" t="s">
        <v>0</v>
      </c>
    </row>
    <row r="2" spans="1:7" s="9" customFormat="1" ht="12.95" customHeight="1" x14ac:dyDescent="0.2">
      <c r="A2" s="9" t="s">
        <v>1</v>
      </c>
      <c r="B2" s="9" t="s">
        <v>2</v>
      </c>
      <c r="C2" s="10" t="s">
        <v>3</v>
      </c>
      <c r="D2" s="11" t="s">
        <v>4</v>
      </c>
      <c r="E2" s="3" t="s">
        <v>5</v>
      </c>
      <c r="F2" s="9" t="e">
        <v>#N/A</v>
      </c>
    </row>
    <row r="3" spans="1:7" s="9" customFormat="1" ht="12.95" customHeight="1" x14ac:dyDescent="0.2"/>
    <row r="4" spans="1:7" s="9" customFormat="1" ht="12.95" customHeight="1" x14ac:dyDescent="0.2">
      <c r="A4" s="12" t="s">
        <v>6</v>
      </c>
      <c r="C4" s="13" t="s">
        <v>7</v>
      </c>
      <c r="D4" s="14" t="s">
        <v>7</v>
      </c>
    </row>
    <row r="5" spans="1:7" s="9" customFormat="1" ht="12.95" customHeight="1" x14ac:dyDescent="0.2"/>
    <row r="6" spans="1:7" s="9" customFormat="1" ht="12.95" customHeight="1" x14ac:dyDescent="0.2">
      <c r="A6" s="12" t="s">
        <v>8</v>
      </c>
    </row>
    <row r="7" spans="1:7" s="9" customFormat="1" ht="12.95" customHeight="1" x14ac:dyDescent="0.2">
      <c r="A7" s="9" t="s">
        <v>9</v>
      </c>
      <c r="C7" s="15">
        <v>40275.252299999818</v>
      </c>
      <c r="D7" s="16" t="s">
        <v>10</v>
      </c>
    </row>
    <row r="8" spans="1:7" s="9" customFormat="1" ht="12.95" customHeight="1" x14ac:dyDescent="0.2">
      <c r="A8" s="9" t="s">
        <v>11</v>
      </c>
      <c r="C8" s="15">
        <v>0.73569772</v>
      </c>
      <c r="D8" s="16" t="s">
        <v>10</v>
      </c>
    </row>
    <row r="9" spans="1:7" s="9" customFormat="1" ht="12.95" customHeight="1" x14ac:dyDescent="0.2">
      <c r="A9" s="17" t="s">
        <v>12</v>
      </c>
      <c r="C9" s="18">
        <v>-9.5</v>
      </c>
      <c r="D9" s="9" t="s">
        <v>13</v>
      </c>
    </row>
    <row r="10" spans="1:7" s="9" customFormat="1" ht="12.95" customHeight="1" x14ac:dyDescent="0.2">
      <c r="C10" s="19" t="s">
        <v>14</v>
      </c>
      <c r="D10" s="19" t="s">
        <v>15</v>
      </c>
    </row>
    <row r="11" spans="1:7" s="9" customFormat="1" ht="12.95" customHeight="1" x14ac:dyDescent="0.2">
      <c r="A11" s="9" t="s">
        <v>16</v>
      </c>
      <c r="C11" s="20">
        <f ca="1">INTERCEPT(INDIRECT($G$11):G992,INDIRECT($F$11):F992)</f>
        <v>7.819115169776987E-2</v>
      </c>
      <c r="D11" s="11"/>
      <c r="F11" s="21" t="str">
        <f>"F"&amp;E19</f>
        <v>F21</v>
      </c>
      <c r="G11" s="20" t="str">
        <f>"G"&amp;E19</f>
        <v>G21</v>
      </c>
    </row>
    <row r="12" spans="1:7" s="9" customFormat="1" ht="12.95" customHeight="1" x14ac:dyDescent="0.2">
      <c r="A12" s="9" t="s">
        <v>17</v>
      </c>
      <c r="C12" s="20">
        <f ca="1">SLOPE(INDIRECT($G$11):G992,INDIRECT($F$11):F992)</f>
        <v>-4.7959542175390346E-6</v>
      </c>
      <c r="D12" s="11"/>
    </row>
    <row r="13" spans="1:7" s="9" customFormat="1" ht="12.95" customHeight="1" x14ac:dyDescent="0.2">
      <c r="A13" s="9" t="s">
        <v>18</v>
      </c>
      <c r="C13" s="11" t="s">
        <v>19</v>
      </c>
      <c r="D13" s="22" t="s">
        <v>20</v>
      </c>
      <c r="E13" s="18">
        <v>1</v>
      </c>
    </row>
    <row r="14" spans="1:7" s="9" customFormat="1" ht="12.95" customHeight="1" x14ac:dyDescent="0.2">
      <c r="D14" s="22" t="s">
        <v>21</v>
      </c>
      <c r="E14" s="20">
        <f ca="1">NOW()+15018.5+$C$9/24</f>
        <v>60375.78198969907</v>
      </c>
    </row>
    <row r="15" spans="1:7" s="9" customFormat="1" ht="12.95" customHeight="1" x14ac:dyDescent="0.2">
      <c r="A15" s="12" t="s">
        <v>22</v>
      </c>
      <c r="C15" s="23">
        <f ca="1">(C7+C11)+(C8+C12)*INT(MAX(F21:F3533))</f>
        <v>59234.872836735376</v>
      </c>
      <c r="D15" s="22" t="s">
        <v>23</v>
      </c>
      <c r="E15" s="20">
        <f ca="1">ROUND(2*(E14-$C$7)/$C$8,0)/2+E13</f>
        <v>27322.5</v>
      </c>
    </row>
    <row r="16" spans="1:7" s="9" customFormat="1" ht="12.95" customHeight="1" x14ac:dyDescent="0.2">
      <c r="A16" s="12" t="s">
        <v>24</v>
      </c>
      <c r="C16" s="23">
        <f ca="1">+C8+C12</f>
        <v>0.73569292404578246</v>
      </c>
      <c r="D16" s="22" t="s">
        <v>25</v>
      </c>
      <c r="E16" s="20">
        <f ca="1">ROUND(2*(E14-$C$15)/$C$16,0)/2+E13</f>
        <v>1552</v>
      </c>
    </row>
    <row r="17" spans="1:19" s="9" customFormat="1" ht="12.95" customHeight="1" x14ac:dyDescent="0.2">
      <c r="A17" s="22" t="s">
        <v>26</v>
      </c>
      <c r="C17" s="9">
        <f>COUNT(C21:C2191)</f>
        <v>7</v>
      </c>
      <c r="D17" s="22" t="s">
        <v>27</v>
      </c>
      <c r="E17" s="24">
        <f ca="1">+$C$15+$C$16*E16-15018.5-$C$9/24</f>
        <v>45358.56408818777</v>
      </c>
    </row>
    <row r="18" spans="1:19" s="9" customFormat="1" ht="12.95" customHeight="1" x14ac:dyDescent="0.2">
      <c r="A18" s="12" t="s">
        <v>28</v>
      </c>
      <c r="C18" s="25">
        <f ca="1">+C15</f>
        <v>59234.872836735376</v>
      </c>
      <c r="D18" s="26">
        <f ca="1">+C16</f>
        <v>0.73569292404578246</v>
      </c>
      <c r="E18" s="27" t="s">
        <v>29</v>
      </c>
    </row>
    <row r="19" spans="1:19" s="9" customFormat="1" ht="12.95" customHeight="1" x14ac:dyDescent="0.2">
      <c r="A19" s="22" t="s">
        <v>30</v>
      </c>
      <c r="E19" s="28">
        <v>21</v>
      </c>
      <c r="S19" s="9">
        <f ca="1">SQRT(SUM(S21:S50)/(COUNT(S21:S50)-1))</f>
        <v>0.1430110334308588</v>
      </c>
    </row>
    <row r="20" spans="1:19" s="9" customFormat="1" ht="12.95" customHeight="1" x14ac:dyDescent="0.2">
      <c r="A20" s="19" t="s">
        <v>31</v>
      </c>
      <c r="B20" s="19" t="s">
        <v>32</v>
      </c>
      <c r="C20" s="19" t="s">
        <v>33</v>
      </c>
      <c r="D20" s="19" t="s">
        <v>34</v>
      </c>
      <c r="E20" s="19" t="s">
        <v>35</v>
      </c>
      <c r="F20" s="19" t="s">
        <v>36</v>
      </c>
      <c r="G20" s="19" t="s">
        <v>37</v>
      </c>
      <c r="H20" s="29" t="str">
        <f>A21</f>
        <v>VSX</v>
      </c>
      <c r="I20" s="29" t="s">
        <v>56</v>
      </c>
      <c r="J20" s="29" t="s">
        <v>38</v>
      </c>
      <c r="K20" s="29" t="s">
        <v>39</v>
      </c>
      <c r="L20" s="29" t="s">
        <v>40</v>
      </c>
      <c r="M20" s="29" t="s">
        <v>41</v>
      </c>
      <c r="N20" s="29" t="s">
        <v>42</v>
      </c>
      <c r="O20" s="29" t="s">
        <v>43</v>
      </c>
      <c r="P20" s="29" t="s">
        <v>44</v>
      </c>
      <c r="Q20" s="19" t="s">
        <v>45</v>
      </c>
      <c r="R20" s="30" t="s">
        <v>46</v>
      </c>
    </row>
    <row r="21" spans="1:19" s="9" customFormat="1" ht="12.95" customHeight="1" x14ac:dyDescent="0.2">
      <c r="A21" s="9" t="str">
        <f>D7</f>
        <v>VSX</v>
      </c>
      <c r="C21" s="31">
        <f>C$7</f>
        <v>40275.252299999818</v>
      </c>
      <c r="D21" s="31" t="s">
        <v>19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>
        <f ca="1">+C$11+C$12*$F21</f>
        <v>7.819115169776987E-2</v>
      </c>
      <c r="Q21" s="32">
        <f>+C21-15018.5</f>
        <v>25256.752299999818</v>
      </c>
      <c r="S21" s="9">
        <f ca="1">+(O21-G21)^2</f>
        <v>6.1138562038236602E-3</v>
      </c>
    </row>
    <row r="22" spans="1:19" s="9" customFormat="1" ht="12.95" customHeight="1" x14ac:dyDescent="0.2">
      <c r="A22" s="4" t="s">
        <v>47</v>
      </c>
      <c r="B22" s="5" t="s">
        <v>48</v>
      </c>
      <c r="C22" s="4">
        <v>55643.734600000003</v>
      </c>
      <c r="D22" s="4">
        <v>4.0000000000000002E-4</v>
      </c>
      <c r="E22" s="9">
        <f>+(C22-C$7)/C$8</f>
        <v>20889.669605065767</v>
      </c>
      <c r="F22" s="9">
        <f>ROUND(2*E22,0)/2</f>
        <v>20889.5</v>
      </c>
      <c r="G22" s="9">
        <f>+C22-(C$7+F22*C$8)</f>
        <v>0.12477806018432602</v>
      </c>
      <c r="I22" s="9">
        <f>+G22</f>
        <v>0.12477806018432602</v>
      </c>
      <c r="O22" s="9">
        <f ca="1">+C$11+C$12*$F22</f>
        <v>-2.1993933929511794E-2</v>
      </c>
      <c r="Q22" s="32">
        <f>+C22-15018.5</f>
        <v>40625.234600000003</v>
      </c>
      <c r="S22" s="9">
        <f ca="1">+(O22-G22)^2</f>
        <v>2.1542018256152443E-2</v>
      </c>
    </row>
    <row r="23" spans="1:19" s="9" customFormat="1" ht="12.95" customHeight="1" x14ac:dyDescent="0.2">
      <c r="A23" s="4" t="s">
        <v>49</v>
      </c>
      <c r="B23" s="5" t="s">
        <v>48</v>
      </c>
      <c r="C23" s="4">
        <v>55957.886500000001</v>
      </c>
      <c r="D23" s="4">
        <v>2.9999999999999997E-4</v>
      </c>
      <c r="E23" s="9">
        <f>+(C23-C$7)/C$8</f>
        <v>21316.681802412248</v>
      </c>
      <c r="F23" s="9">
        <f>ROUND(2*E23,0)/2</f>
        <v>21316.5</v>
      </c>
      <c r="G23" s="9">
        <f>+C23-(C$7+F23*C$8)</f>
        <v>0.13375162018201081</v>
      </c>
      <c r="I23" s="9">
        <f>+G23</f>
        <v>0.13375162018201081</v>
      </c>
      <c r="O23" s="9">
        <f ca="1">+C$11+C$12*$F23</f>
        <v>-2.404180638040096E-2</v>
      </c>
      <c r="Q23" s="32">
        <f>+C23-15018.5</f>
        <v>40939.386500000001</v>
      </c>
      <c r="S23" s="9">
        <f ca="1">+(O23-G23)^2</f>
        <v>2.4898765466307236E-2</v>
      </c>
    </row>
    <row r="24" spans="1:19" s="9" customFormat="1" ht="12.95" customHeight="1" x14ac:dyDescent="0.2">
      <c r="A24" s="4" t="s">
        <v>49</v>
      </c>
      <c r="B24" s="5" t="s">
        <v>48</v>
      </c>
      <c r="C24" s="4">
        <v>56030.713000000003</v>
      </c>
      <c r="D24" s="4">
        <v>2E-3</v>
      </c>
      <c r="E24" s="9">
        <f>+(C24-C$7)/C$8</f>
        <v>21415.671507042574</v>
      </c>
      <c r="F24" s="9">
        <f>ROUND(2*E24,0)/2</f>
        <v>21415.5</v>
      </c>
      <c r="G24" s="9">
        <f>+C24-(C$7+F24*C$8)</f>
        <v>0.12617734018567717</v>
      </c>
      <c r="I24" s="9">
        <f>+G24</f>
        <v>0.12617734018567717</v>
      </c>
      <c r="O24" s="9">
        <f ca="1">+C$11+C$12*$F24</f>
        <v>-2.4516605847937328E-2</v>
      </c>
      <c r="Q24" s="32">
        <f>+C24-15018.5</f>
        <v>41012.213000000003</v>
      </c>
      <c r="S24" s="9">
        <f ca="1">+(O24-G24)^2</f>
        <v>2.2708665371181918E-2</v>
      </c>
    </row>
    <row r="25" spans="1:19" s="9" customFormat="1" ht="12.95" customHeight="1" x14ac:dyDescent="0.2">
      <c r="A25" s="33" t="s">
        <v>50</v>
      </c>
      <c r="B25" s="34" t="s">
        <v>51</v>
      </c>
      <c r="C25" s="35">
        <v>58890.071000000004</v>
      </c>
      <c r="D25" s="35" t="s">
        <v>52</v>
      </c>
      <c r="E25" s="9">
        <f>+(C25-C$7)/C$8</f>
        <v>25302.265038962178</v>
      </c>
      <c r="F25" s="9">
        <f>ROUND(2*E25,0)/2</f>
        <v>25302.5</v>
      </c>
      <c r="G25" s="9">
        <f>+C25-(C$7+F25*C$8)</f>
        <v>-0.17286029981187312</v>
      </c>
      <c r="I25" s="9">
        <f>+G25</f>
        <v>-0.17286029981187312</v>
      </c>
      <c r="O25" s="9">
        <f ca="1">+C$11+C$12*$F25</f>
        <v>-4.3158479891511559E-2</v>
      </c>
      <c r="Q25" s="32">
        <f>+C25-15018.5</f>
        <v>43871.571000000004</v>
      </c>
      <c r="S25" s="9">
        <f ca="1">+(O25-G25)^2</f>
        <v>1.68225620906539E-2</v>
      </c>
    </row>
    <row r="26" spans="1:19" s="9" customFormat="1" ht="12.95" customHeight="1" x14ac:dyDescent="0.2">
      <c r="A26" s="6" t="s">
        <v>53</v>
      </c>
      <c r="B26" s="7" t="s">
        <v>48</v>
      </c>
      <c r="C26" s="8">
        <v>59235.112999999896</v>
      </c>
      <c r="D26" s="9" t="s">
        <v>52</v>
      </c>
      <c r="E26" s="9">
        <f t="shared" ref="E26:E27" si="0">+(C26-C$7)/C$8</f>
        <v>25771.264725409339</v>
      </c>
      <c r="F26" s="9">
        <f t="shared" ref="F26:F27" si="1">ROUND(2*E26,0)/2</f>
        <v>25771.5</v>
      </c>
      <c r="G26" s="9">
        <f t="shared" ref="G26:G27" si="2">+C26-(C$7+F26*C$8)</f>
        <v>-0.17309097992256284</v>
      </c>
      <c r="I26" s="9">
        <f t="shared" ref="I26:I27" si="3">+G26</f>
        <v>-0.17309097992256284</v>
      </c>
      <c r="O26" s="9">
        <f t="shared" ref="O26:O27" ca="1" si="4">+C$11+C$12*$F26</f>
        <v>-4.5407782419537357E-2</v>
      </c>
      <c r="Q26" s="32">
        <f t="shared" ref="Q26:Q27" si="5">+C26-15018.5</f>
        <v>44216.612999999896</v>
      </c>
      <c r="S26" s="9">
        <f t="shared" ref="S26:S27" ca="1" si="6">+(O26-G26)^2</f>
        <v>1.6302998924596614E-2</v>
      </c>
    </row>
    <row r="27" spans="1:19" s="9" customFormat="1" ht="12.95" customHeight="1" x14ac:dyDescent="0.2">
      <c r="A27" s="6" t="s">
        <v>53</v>
      </c>
      <c r="B27" s="7" t="s">
        <v>48</v>
      </c>
      <c r="C27" s="8">
        <v>59235.12099999981</v>
      </c>
      <c r="D27" s="9" t="s">
        <v>54</v>
      </c>
      <c r="E27" s="9">
        <f t="shared" si="0"/>
        <v>25771.275599440476</v>
      </c>
      <c r="F27" s="9">
        <f t="shared" si="1"/>
        <v>25771.5</v>
      </c>
      <c r="G27" s="9">
        <f t="shared" si="2"/>
        <v>-0.16509098000824451</v>
      </c>
      <c r="I27" s="9">
        <f t="shared" si="3"/>
        <v>-0.16509098000824451</v>
      </c>
      <c r="O27" s="9">
        <f t="shared" ca="1" si="4"/>
        <v>-4.5407782419537357E-2</v>
      </c>
      <c r="Q27" s="32">
        <f t="shared" si="5"/>
        <v>44216.62099999981</v>
      </c>
      <c r="S27" s="9">
        <f t="shared" ca="1" si="6"/>
        <v>1.4324067785057518E-2</v>
      </c>
    </row>
    <row r="28" spans="1:19" s="9" customFormat="1" ht="12.95" customHeight="1" x14ac:dyDescent="0.2"/>
    <row r="29" spans="1:19" s="9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2023-01-24T05:38:48Z</dcterms:created>
  <dcterms:modified xsi:type="dcterms:W3CDTF">2024-03-06T05:46:03Z</dcterms:modified>
</cp:coreProperties>
</file>