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48FAF04-7A1E-4FD6-9E99-55DCF1F1CB1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E21" i="1"/>
  <c r="F21" i="1" s="1"/>
  <c r="G21" i="1" s="1"/>
  <c r="H21" i="1" s="1"/>
  <c r="E22" i="1"/>
  <c r="F22" i="1"/>
  <c r="G22" i="1"/>
  <c r="I22" i="1"/>
  <c r="E23" i="1"/>
  <c r="F23" i="1"/>
  <c r="G23" i="1"/>
  <c r="I23" i="1"/>
  <c r="E24" i="1"/>
  <c r="F24" i="1"/>
  <c r="G24" i="1"/>
  <c r="G11" i="1"/>
  <c r="F11" i="1"/>
  <c r="Q21" i="1"/>
  <c r="Q22" i="1"/>
  <c r="Q23" i="1"/>
  <c r="I24" i="1"/>
  <c r="Q24" i="1"/>
  <c r="E14" i="1"/>
  <c r="C17" i="1"/>
  <c r="C11" i="1"/>
  <c r="E15" i="1" l="1"/>
  <c r="C12" i="1"/>
  <c r="C16" i="1" l="1"/>
  <c r="D18" i="1" s="1"/>
  <c r="C15" i="1"/>
  <c r="O22" i="1"/>
  <c r="S22" i="1" s="1"/>
  <c r="O21" i="1"/>
  <c r="S21" i="1" s="1"/>
  <c r="O23" i="1"/>
  <c r="S23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<sst xmlns="http://schemas.openxmlformats.org/spreadsheetml/2006/main" count="59" uniqueCount="52">
  <si>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</si>
  <si>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</si>
  <si>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</si>
  <si>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</si>
  <si>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</si>
  <si>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</si>
  <si>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</si>
  <si>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</si>
  <si>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</si>
  <si>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</si>
  <si>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</si>
  <si>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</si>
  <si>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</si>
  <si>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</si>
  <si>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</si>
  <si>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</si>
  <si>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</si>
  <si>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</si>
  <si>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</si>
  <si>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</si>
  <si>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</si>
  <si>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</si>
  <si>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</si>
  <si>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</si>
  <si>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</si>
  <si>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</si>
  <si>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</si>
  <si>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</si>
  <si>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</si>
  <si>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</si>
  <si>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</si>
  <si>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</si>
  <si>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</si>
  <si>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</si>
  <si>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</si>
  <si>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</si>
  <si>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</si>
  <si>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</si>
  <si>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</si>
  <si>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</si>
  <si>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</si>
  <si>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</si>
  <si>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G4913-1090</t>
  </si>
  <si>
    <t>G4913-1090_Sex.xls</t>
  </si>
  <si>
    <t>EB / EW</t>
  </si>
  <si>
    <t>Sex</t>
  </si>
  <si>
    <t>VSX</t>
  </si>
  <si>
    <t>IBVS 5992</t>
  </si>
  <si>
    <t>I</t>
  </si>
  <si>
    <t>IBVS 6029</t>
  </si>
  <si>
    <t>DD Sex / GSC 4913-1090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</si>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</sst>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</a:t>
            </a:r>
            <a:r>
              <a:rPr lang="en-AU" baseline="0"/>
              <a:t> Sex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</c:v>
                </c:pt>
                <c:pt idx="2">
                  <c:v>1085</c:v>
                </c:pt>
                <c:pt idx="3">
                  <c:v>1299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5-4842-8A39-5E764840DA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</c:v>
                </c:pt>
                <c:pt idx="2">
                  <c:v>1085</c:v>
                </c:pt>
                <c:pt idx="3">
                  <c:v>1299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-5.3900000057183206E-4</c:v>
                </c:pt>
                <c:pt idx="2">
                  <c:v>-3.7950000041746534E-3</c:v>
                </c:pt>
                <c:pt idx="3">
                  <c:v>-3.3330000005662441E-3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5-4842-8A39-5E764840DA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</c:v>
                </c:pt>
                <c:pt idx="2">
                  <c:v>1085</c:v>
                </c:pt>
                <c:pt idx="3">
                  <c:v>1299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5-4842-8A39-5E764840DA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</c:v>
                </c:pt>
                <c:pt idx="2">
                  <c:v>1085</c:v>
                </c:pt>
                <c:pt idx="3">
                  <c:v>1299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5-4842-8A39-5E764840DA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</c:v>
                </c:pt>
                <c:pt idx="2">
                  <c:v>1085</c:v>
                </c:pt>
                <c:pt idx="3">
                  <c:v>1299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5-4842-8A39-5E764840DA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</c:v>
                </c:pt>
                <c:pt idx="2">
                  <c:v>1085</c:v>
                </c:pt>
                <c:pt idx="3">
                  <c:v>1299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5-4842-8A39-5E764840DA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</c:v>
                </c:pt>
                <c:pt idx="2">
                  <c:v>1085</c:v>
                </c:pt>
                <c:pt idx="3">
                  <c:v>1299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5-4842-8A39-5E764840DA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</c:v>
                </c:pt>
                <c:pt idx="2">
                  <c:v>1085</c:v>
                </c:pt>
                <c:pt idx="3">
                  <c:v>1299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-1.0013358461131126E-5</c:v>
                </c:pt>
                <c:pt idx="1">
                  <c:v>-6.4632531771088137E-4</c:v>
                </c:pt>
                <c:pt idx="2">
                  <c:v>-3.1915731547098826E-3</c:v>
                </c:pt>
                <c:pt idx="3">
                  <c:v>-3.8190881744308344E-3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5-4842-8A39-5E764840DA2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</c:v>
                </c:pt>
                <c:pt idx="2">
                  <c:v>1085</c:v>
                </c:pt>
                <c:pt idx="3">
                  <c:v>1299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D5-4842-8A39-5E764840D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46064"/>
        <c:axId val="1"/>
      </c:scatterChart>
      <c:valAx>
        <c:axId val="55934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4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DC3F00-696A-2455-AE3D-88A3D37EE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50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55600.927100000001</v>
      </c>
      <c r="D7" s="12" t="s">
        <v>46</v>
      </c>
    </row>
    <row r="8" spans="1:7" s="5" customFormat="1" ht="12.95" customHeight="1" x14ac:dyDescent="0.2">
      <c r="A8" s="5" t="s">
        <v>3</v>
      </c>
      <c r="C8" s="34">
        <v>0.33086700000000002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INTERCEPT(INDIRECT($G$11):G991,INDIRECT($F$11):F991)</f>
        <v>-1.0013358461131126E-5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SLOPE(INDIRECT($G$11):G991,INDIRECT($F$11):F991)</f>
        <v>-2.9323131762661304E-6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60375.784288541661</v>
      </c>
    </row>
    <row r="15" spans="1:7" s="5" customFormat="1" ht="12.95" customHeight="1" x14ac:dyDescent="0.2">
      <c r="A15" s="20" t="s">
        <v>17</v>
      </c>
      <c r="C15" s="21">
        <f ca="1">(C7+C11)+(C8+C12)*INT(MAX(F21:F3532))</f>
        <v>56030.719513911819</v>
      </c>
      <c r="D15" s="18" t="s">
        <v>38</v>
      </c>
      <c r="E15" s="19">
        <f ca="1">ROUND(2*(E14-$C$7)/$C$8,0)/2+E13</f>
        <v>14432.5</v>
      </c>
    </row>
    <row r="16" spans="1:7" s="5" customFormat="1" ht="12.95" customHeight="1" x14ac:dyDescent="0.2">
      <c r="A16" s="8" t="s">
        <v>4</v>
      </c>
      <c r="C16" s="22">
        <f ca="1">+C8+C12</f>
        <v>0.33086406768682375</v>
      </c>
      <c r="D16" s="18" t="s">
        <v>39</v>
      </c>
      <c r="E16" s="16">
        <f ca="1">ROUND(2*(E14-$C$15)/$C$16,0)/2+E13</f>
        <v>13133.5</v>
      </c>
    </row>
    <row r="17" spans="1:19" s="5" customFormat="1" ht="12.95" customHeight="1" thickBot="1" x14ac:dyDescent="0.25">
      <c r="A17" s="18" t="s">
        <v>29</v>
      </c>
      <c r="C17" s="5">
        <f>COUNT(C21:C2190)</f>
        <v>4</v>
      </c>
      <c r="D17" s="18" t="s">
        <v>33</v>
      </c>
      <c r="E17" s="23">
        <f ca="1">+$C$15+$C$16*E16-15018.5-$C$9/24</f>
        <v>45358.018580210053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56030.719513911819</v>
      </c>
      <c r="D18" s="25">
        <f ca="1">+C16</f>
        <v>0.33086406768682375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SQRT(SUM(S21:S49)/(COUNT(S21:S49)-1))</f>
        <v>4.5167269361513692E-4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">
        <v>46</v>
      </c>
      <c r="I20" s="29" t="s">
        <v>51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3" t="str">
        <f>$D$7</f>
        <v>VSX</v>
      </c>
      <c r="B21" s="4" t="s">
        <v>48</v>
      </c>
      <c r="C21" s="3">
        <f>$C$7</f>
        <v>55600.927100000001</v>
      </c>
      <c r="D21" s="3">
        <v>2.0000000000000001E-4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-1.0013358461131126E-5</v>
      </c>
      <c r="Q21" s="32">
        <f>+C21-15018.5</f>
        <v>40582.427100000001</v>
      </c>
      <c r="S21" s="5">
        <f ca="1">+(O21-G21)^2</f>
        <v>1.0026734767110632E-10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55672.724699999999</v>
      </c>
      <c r="D22" s="3">
        <v>2.9999999999999997E-4</v>
      </c>
      <c r="E22" s="5">
        <f>+(C22-C$7)/C$8</f>
        <v>216.99837094662826</v>
      </c>
      <c r="F22" s="5">
        <f>ROUND(2*E22,0)/2</f>
        <v>217</v>
      </c>
      <c r="G22" s="5">
        <f>+C22-(C$7+F22*C$8)</f>
        <v>-5.3900000057183206E-4</v>
      </c>
      <c r="I22" s="5">
        <f>+G22</f>
        <v>-5.3900000057183206E-4</v>
      </c>
      <c r="O22" s="5">
        <f ca="1">+C$11+C$12*$F22</f>
        <v>-6.4632531771088137E-4</v>
      </c>
      <c r="Q22" s="32">
        <f>+C22-15018.5</f>
        <v>40654.224699999999</v>
      </c>
      <c r="S22" s="5">
        <f ca="1">+(O22-G22)^2</f>
        <v>1.1518723698997512E-8</v>
      </c>
    </row>
    <row r="23" spans="1:19" s="5" customFormat="1" ht="12.95" customHeight="1" x14ac:dyDescent="0.2">
      <c r="A23" s="3" t="s">
        <v>49</v>
      </c>
      <c r="B23" s="4" t="s">
        <v>48</v>
      </c>
      <c r="C23" s="3">
        <v>55959.913999999997</v>
      </c>
      <c r="D23" s="3">
        <v>4.0000000000000002E-4</v>
      </c>
      <c r="E23" s="5">
        <f>+(C23-C$7)/C$8</f>
        <v>1084.9885301344534</v>
      </c>
      <c r="F23" s="5">
        <f>ROUND(2*E23,0)/2</f>
        <v>1085</v>
      </c>
      <c r="G23" s="5">
        <f>+C23-(C$7+F23*C$8)</f>
        <v>-3.7950000041746534E-3</v>
      </c>
      <c r="I23" s="5">
        <f>+G23</f>
        <v>-3.7950000041746534E-3</v>
      </c>
      <c r="O23" s="5">
        <f ca="1">+C$11+C$12*$F23</f>
        <v>-3.1915731547098826E-3</v>
      </c>
      <c r="Q23" s="32">
        <f>+C23-15018.5</f>
        <v>40941.413999999997</v>
      </c>
      <c r="S23" s="5">
        <f ca="1">+(O23-G23)^2</f>
        <v>3.6412396265497927E-7</v>
      </c>
    </row>
    <row r="24" spans="1:19" s="5" customFormat="1" ht="12.95" customHeight="1" x14ac:dyDescent="0.2">
      <c r="A24" s="3" t="s">
        <v>49</v>
      </c>
      <c r="B24" s="4" t="s">
        <v>48</v>
      </c>
      <c r="C24" s="3">
        <v>56030.720000000001</v>
      </c>
      <c r="D24" s="3">
        <v>6.0000000000000001E-3</v>
      </c>
      <c r="E24" s="5">
        <f>+(C24-C$7)/C$8</f>
        <v>1298.9899264659223</v>
      </c>
      <c r="F24" s="5">
        <f>ROUND(2*E24,0)/2</f>
        <v>1299</v>
      </c>
      <c r="G24" s="5">
        <f>+C24-(C$7+F24*C$8)</f>
        <v>-3.3330000005662441E-3</v>
      </c>
      <c r="I24" s="5">
        <f>+G24</f>
        <v>-3.3330000005662441E-3</v>
      </c>
      <c r="O24" s="5">
        <f ca="1">+C$11+C$12*$F24</f>
        <v>-3.8190881744308344E-3</v>
      </c>
      <c r="Q24" s="32">
        <f>+C24-15018.5</f>
        <v>41012.22</v>
      </c>
      <c r="S24" s="5">
        <f ca="1">+(O24-G24)^2</f>
        <v>2.362817127710121E-7</v>
      </c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2024-03-06T05:49:22Z</dcterms:modified>
</cp:coreProperties>
</file>