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FD35A0-1A7B-4C7B-8282-55B2766E1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8" i="1"/>
  <c r="Q29" i="1"/>
  <c r="Q30" i="1"/>
  <c r="C9" i="1"/>
  <c r="D9" i="1"/>
  <c r="Q26" i="1"/>
  <c r="Q25" i="1"/>
  <c r="Q23" i="1"/>
  <c r="Q24" i="1"/>
  <c r="E21" i="1"/>
  <c r="F21" i="1"/>
  <c r="F16" i="1"/>
  <c r="F17" i="1" s="1"/>
  <c r="C17" i="1"/>
  <c r="Q22" i="1"/>
  <c r="R22" i="1"/>
  <c r="G4" i="1"/>
  <c r="F4" i="1"/>
  <c r="G21" i="1"/>
  <c r="H21" i="1"/>
  <c r="Q21" i="1"/>
  <c r="C12" i="1"/>
  <c r="C11" i="1"/>
  <c r="O31" i="1" l="1"/>
  <c r="C16" i="1"/>
  <c r="D18" i="1" s="1"/>
  <c r="O29" i="1"/>
  <c r="O30" i="1"/>
  <c r="O23" i="1"/>
  <c r="O26" i="1"/>
  <c r="O24" i="1"/>
  <c r="O28" i="1"/>
  <c r="O25" i="1"/>
  <c r="O27" i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<sst xmlns="http://schemas.openxmlformats.org/spreadsheetml/2006/main" count="75" uniqueCount="58">
  <si>
    <t>IBVS 6244</t>
  </si>
  <si>
    <t>VSB-063</t>
  </si>
  <si>
    <t>VSB-064</t>
  </si>
  <si>
    <t>2019-07-08 Verified by ToMcat</t>
  </si>
  <si>
    <t>V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</si>
  <si>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</si>
  <si>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</si>
  <si>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</si>
  <si>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</si>
  <si>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</si>
  <si>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</si>
  <si>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</si>
  <si>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</si>
  <si>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</si>
  <si>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</si>
  <si>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</si>
  <si>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</si>
  <si>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</si>
  <si>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</si>
  <si>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</si>
  <si>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</si>
  <si>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</si>
  <si>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</si>
  <si>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</si>
  <si>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</si>
  <si>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</si>
  <si>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</si>
  <si>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</si>
  <si>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</si>
  <si>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</si>
  <si>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</si>
  <si>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</si>
  <si>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</si>
  <si>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</si>
  <si>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</si>
  <si>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</si>
  <si>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</si>
  <si>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</si>
  <si>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</si>
  <si>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</si>
  <si>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</si>
  <si>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WZ Sex / GSC 4904-1087</t>
  </si>
  <si>
    <t>EB</t>
  </si>
  <si>
    <t>GRAV</t>
  </si>
  <si>
    <t>IBVS 5894</t>
  </si>
  <si>
    <t>I</t>
  </si>
  <si>
    <t>Add cycle</t>
  </si>
  <si>
    <t>Old Cycle</t>
  </si>
  <si>
    <t>IBVS 5992</t>
  </si>
  <si>
    <t>IBVS 6029</t>
  </si>
  <si>
    <t>IBVS 6149</t>
  </si>
  <si>
    <t>pg</t>
  </si>
  <si>
    <t>vis</t>
  </si>
  <si>
    <t>PE</t>
  </si>
  <si>
    <t>CCD</t>
  </si>
  <si>
    <t>B</t>
  </si>
  <si>
    <t>Ic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</si>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</sst>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165" fontId="33" fillId="0" borderId="0" xfId="41" applyNumberFormat="1" applyFont="1" applyAlignment="1">
      <alignment horizontal="left" vertical="top"/>
    </xf>
    <xf numFmtId="0" fontId="33" fillId="0" borderId="0" xfId="41" applyFont="1" applyAlignment="1">
      <alignment horizontal="left" vertical="top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24" borderId="5" xfId="0" applyFill="1" applyBorder="1" applyAlignment="1">
      <alignment horizontal="left" vertical="center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Sex --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5-4725-9B3E-C10A9EAAC8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35-4725-9B3E-C10A9EAAC8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35-4725-9B3E-C10A9EAAC8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-1.8289999999979045E-2</c:v>
                </c:pt>
                <c:pt idx="2">
                  <c:v>6.2800000014249235E-3</c:v>
                </c:pt>
                <c:pt idx="3">
                  <c:v>1.1000000013154931E-3</c:v>
                </c:pt>
                <c:pt idx="4">
                  <c:v>1.6500000056112185E-3</c:v>
                </c:pt>
                <c:pt idx="5">
                  <c:v>2.5680000006104819E-2</c:v>
                </c:pt>
                <c:pt idx="6">
                  <c:v>-3.7369999998190906E-2</c:v>
                </c:pt>
                <c:pt idx="7">
                  <c:v>-3.7169999995967373E-2</c:v>
                </c:pt>
                <c:pt idx="8">
                  <c:v>-4.748499999550404E-2</c:v>
                </c:pt>
                <c:pt idx="9">
                  <c:v>-6.2599999946542084E-3</c:v>
                </c:pt>
                <c:pt idx="10">
                  <c:v>-7.32500013691606E-3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35-4725-9B3E-C10A9EAAC868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1.056698069211023E-2</c:v>
                </c:pt>
                <c:pt idx="1">
                  <c:v>-1.2059948555283185E-3</c:v>
                </c:pt>
                <c:pt idx="2">
                  <c:v>-4.9961223034490822E-3</c:v>
                </c:pt>
                <c:pt idx="3">
                  <c:v>-5.3642075184216591E-3</c:v>
                </c:pt>
                <c:pt idx="4">
                  <c:v>-6.9458236765069549E-3</c:v>
                </c:pt>
                <c:pt idx="5">
                  <c:v>-1.1265073620950802E-2</c:v>
                </c:pt>
                <c:pt idx="6">
                  <c:v>-1.5032195742935777E-2</c:v>
                </c:pt>
                <c:pt idx="7">
                  <c:v>-1.5032195742935777E-2</c:v>
                </c:pt>
                <c:pt idx="8">
                  <c:v>-1.6927259466896161E-2</c:v>
                </c:pt>
                <c:pt idx="9">
                  <c:v>-1.7200447712383621E-2</c:v>
                </c:pt>
                <c:pt idx="10">
                  <c:v>-2.5220679466747057E-2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35-4725-9B3E-C10A9EAA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45816"/>
        <c:axId val="1"/>
      </c:scatterChart>
      <c:valAx>
        <c:axId val="105194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4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92481203007521"/>
          <c:y val="0.92397937099967764"/>
          <c:w val="0.398496240601503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F90D36-042A-F4F4-9239-86E25E0B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8" customFormat="1" ht="20.25" x14ac:dyDescent="0.2">
      <c r="A1" s="47" t="s">
        <v>41</v>
      </c>
      <c r="E1" s="4"/>
      <c r="F1" s="4"/>
      <c r="G1" s="48" t="s">
        <v>42</v>
      </c>
      <c r="H1" s="5" t="s">
        <v>43</v>
      </c>
      <c r="I1" s="3" t="s">
        <v>39</v>
      </c>
      <c r="J1" s="3" t="s">
        <v>39</v>
      </c>
      <c r="K1" s="49">
        <v>52722.77</v>
      </c>
      <c r="L1" s="49">
        <v>1.0591699999999999</v>
      </c>
    </row>
    <row r="2" spans="1:12" s="18" customFormat="1" ht="12.95" customHeight="1" x14ac:dyDescent="0.2">
      <c r="A2" s="18" t="s">
        <v>28</v>
      </c>
      <c r="B2" s="18" t="s">
        <v>42</v>
      </c>
      <c r="C2" s="19"/>
    </row>
    <row r="3" spans="1:12" s="18" customFormat="1" ht="12.95" customHeight="1" thickBot="1" x14ac:dyDescent="0.25"/>
    <row r="4" spans="1:12" s="18" customFormat="1" ht="12.95" customHeight="1" thickTop="1" thickBot="1" x14ac:dyDescent="0.25">
      <c r="A4" s="20" t="s">
        <v>40</v>
      </c>
      <c r="C4" s="21" t="s">
        <v>39</v>
      </c>
      <c r="D4" s="22" t="s">
        <v>39</v>
      </c>
      <c r="F4" s="23" t="str">
        <f>"F"&amp;B9</f>
        <v>F22</v>
      </c>
      <c r="G4" s="24" t="str">
        <f>"G"&amp;B9</f>
        <v>G22</v>
      </c>
    </row>
    <row r="5" spans="1:12" s="18" customFormat="1" ht="12.95" customHeight="1" thickTop="1" x14ac:dyDescent="0.2">
      <c r="A5" s="20" t="s">
        <v>33</v>
      </c>
      <c r="C5" s="25">
        <v>-9.5</v>
      </c>
      <c r="D5" s="18" t="s">
        <v>34</v>
      </c>
    </row>
    <row r="6" spans="1:12" s="18" customFormat="1" ht="12.95" customHeight="1" x14ac:dyDescent="0.2">
      <c r="A6" s="26" t="s">
        <v>6</v>
      </c>
    </row>
    <row r="7" spans="1:12" s="18" customFormat="1" ht="12.95" customHeight="1" x14ac:dyDescent="0.2">
      <c r="A7" s="18" t="s">
        <v>7</v>
      </c>
      <c r="C7" s="18">
        <v>52722.77</v>
      </c>
    </row>
    <row r="8" spans="1:12" s="18" customFormat="1" ht="12.95" customHeight="1" x14ac:dyDescent="0.2">
      <c r="A8" s="18" t="s">
        <v>8</v>
      </c>
      <c r="C8" s="18">
        <v>1.0591699999999999</v>
      </c>
      <c r="D8" s="27" t="s">
        <v>43</v>
      </c>
      <c r="E8" s="28" t="s">
        <v>3</v>
      </c>
    </row>
    <row r="9" spans="1:12" s="18" customFormat="1" ht="12.95" customHeight="1" x14ac:dyDescent="0.2">
      <c r="A9" s="29" t="s">
        <v>38</v>
      </c>
      <c r="B9" s="30">
        <v>22</v>
      </c>
      <c r="C9" s="23" t="str">
        <f>"F"&amp;B9</f>
        <v>F22</v>
      </c>
      <c r="D9" s="24" t="str">
        <f>"G"&amp;B9</f>
        <v>G22</v>
      </c>
    </row>
    <row r="10" spans="1:12" s="18" customFormat="1" ht="12.95" customHeight="1" thickBot="1" x14ac:dyDescent="0.25">
      <c r="C10" s="31" t="s">
        <v>24</v>
      </c>
      <c r="D10" s="31" t="s">
        <v>25</v>
      </c>
    </row>
    <row r="11" spans="1:12" s="18" customFormat="1" ht="12.95" customHeight="1" x14ac:dyDescent="0.2">
      <c r="A11" s="18" t="s">
        <v>20</v>
      </c>
      <c r="C11" s="24">
        <f ca="1">INTERCEPT(INDIRECT($D$9):G992,INDIRECT($C$9):F992)</f>
        <v>1.056698069211023E-2</v>
      </c>
      <c r="D11" s="32"/>
    </row>
    <row r="12" spans="1:12" s="18" customFormat="1" ht="12.95" customHeight="1" x14ac:dyDescent="0.2">
      <c r="A12" s="18" t="s">
        <v>21</v>
      </c>
      <c r="C12" s="24">
        <f ca="1">SLOPE(INDIRECT($D$9):G992,INDIRECT($C$9):F992)</f>
        <v>-5.7513314839465308E-6</v>
      </c>
      <c r="D12" s="32"/>
    </row>
    <row r="13" spans="1:12" s="18" customFormat="1" ht="12.95" customHeight="1" x14ac:dyDescent="0.2">
      <c r="A13" s="18" t="s">
        <v>23</v>
      </c>
      <c r="C13" s="32" t="s">
        <v>18</v>
      </c>
    </row>
    <row r="14" spans="1:12" s="18" customFormat="1" ht="12.95" customHeight="1" x14ac:dyDescent="0.2"/>
    <row r="15" spans="1:12" s="18" customFormat="1" ht="12.95" customHeight="1" x14ac:dyDescent="0.2">
      <c r="A15" s="33" t="s">
        <v>22</v>
      </c>
      <c r="C15" s="34">
        <f ca="1">(C7+C11)+(C8+C12)*INT(MAX(F21:F3533))</f>
        <v>59312.9005221962</v>
      </c>
      <c r="E15" s="27" t="s">
        <v>46</v>
      </c>
      <c r="F15" s="25">
        <v>1</v>
      </c>
    </row>
    <row r="16" spans="1:12" s="18" customFormat="1" ht="12.95" customHeight="1" x14ac:dyDescent="0.2">
      <c r="A16" s="26" t="s">
        <v>9</v>
      </c>
      <c r="C16" s="35">
        <f ca="1">+C8+C12</f>
        <v>1.059164248668516</v>
      </c>
      <c r="E16" s="27" t="s">
        <v>35</v>
      </c>
      <c r="F16" s="36">
        <f ca="1">NOW()+15018.5+$C$5/24</f>
        <v>60375.786915624994</v>
      </c>
    </row>
    <row r="17" spans="1:18" s="18" customFormat="1" ht="12.95" customHeight="1" thickBot="1" x14ac:dyDescent="0.25">
      <c r="A17" s="27" t="s">
        <v>32</v>
      </c>
      <c r="C17" s="18">
        <f>COUNT(C21:C2191)</f>
        <v>11</v>
      </c>
      <c r="E17" s="27" t="s">
        <v>47</v>
      </c>
      <c r="F17" s="36">
        <f ca="1">ROUND(2*(F16-$C$7)/$C$8,0)/2+F15</f>
        <v>7226.5</v>
      </c>
    </row>
    <row r="18" spans="1:18" s="18" customFormat="1" ht="12.95" customHeight="1" thickTop="1" thickBot="1" x14ac:dyDescent="0.25">
      <c r="A18" s="26" t="s">
        <v>10</v>
      </c>
      <c r="C18" s="37">
        <f ca="1">+C15</f>
        <v>59312.9005221962</v>
      </c>
      <c r="D18" s="38">
        <f ca="1">+C16</f>
        <v>1.059164248668516</v>
      </c>
      <c r="E18" s="27" t="s">
        <v>36</v>
      </c>
      <c r="F18" s="24">
        <f ca="1">ROUND(2*(F16-$C$15)/$C$16,0)/2+F15</f>
        <v>1004.5</v>
      </c>
    </row>
    <row r="19" spans="1:18" s="18" customFormat="1" ht="12.95" customHeight="1" thickTop="1" x14ac:dyDescent="0.2">
      <c r="E19" s="27" t="s">
        <v>37</v>
      </c>
      <c r="F19" s="39">
        <f ca="1">+$C$15+$C$16*F18-15018.5-$C$5/24</f>
        <v>45358.726843317061</v>
      </c>
    </row>
    <row r="20" spans="1:18" s="18" customFormat="1" ht="12.95" customHeight="1" thickBot="1" x14ac:dyDescent="0.25">
      <c r="A20" s="31" t="s">
        <v>11</v>
      </c>
      <c r="B20" s="31" t="s">
        <v>12</v>
      </c>
      <c r="C20" s="31" t="s">
        <v>13</v>
      </c>
      <c r="D20" s="31" t="s">
        <v>17</v>
      </c>
      <c r="E20" s="31" t="s">
        <v>14</v>
      </c>
      <c r="F20" s="31" t="s">
        <v>15</v>
      </c>
      <c r="G20" s="31" t="s">
        <v>16</v>
      </c>
      <c r="H20" s="40" t="s">
        <v>51</v>
      </c>
      <c r="I20" s="40" t="s">
        <v>52</v>
      </c>
      <c r="J20" s="40" t="s">
        <v>53</v>
      </c>
      <c r="K20" s="40" t="s">
        <v>54</v>
      </c>
      <c r="L20" s="40" t="s">
        <v>29</v>
      </c>
      <c r="M20" s="40" t="s">
        <v>30</v>
      </c>
      <c r="N20" s="40" t="s">
        <v>31</v>
      </c>
      <c r="O20" s="40" t="s">
        <v>27</v>
      </c>
      <c r="P20" s="41" t="s">
        <v>26</v>
      </c>
      <c r="Q20" s="31" t="s">
        <v>19</v>
      </c>
    </row>
    <row r="21" spans="1:18" s="18" customFormat="1" ht="12.95" customHeight="1" x14ac:dyDescent="0.2">
      <c r="A21" s="27" t="s">
        <v>43</v>
      </c>
      <c r="C21" s="19">
        <v>52722.77</v>
      </c>
      <c r="D21" s="19" t="s">
        <v>18</v>
      </c>
      <c r="E21" s="18">
        <f t="shared" ref="E21:E30" si="0">+(C21-C$7)/C$8</f>
        <v>0</v>
      </c>
      <c r="F21" s="18">
        <f t="shared" ref="F21:F30" si="1">ROUND(2*E21,0)/2</f>
        <v>0</v>
      </c>
      <c r="G21" s="18">
        <f t="shared" ref="G21:G30" si="2">+C21-(C$7+F21*C$8)</f>
        <v>0</v>
      </c>
      <c r="H21" s="18">
        <f>+G21</f>
        <v>0</v>
      </c>
      <c r="O21" s="18">
        <f t="shared" ref="O21:O30" ca="1" si="3">+C$11+C$12*$F21</f>
        <v>1.056698069211023E-2</v>
      </c>
      <c r="Q21" s="42">
        <f t="shared" ref="Q21:Q30" si="4">+C21-15018.5</f>
        <v>37704.269999999997</v>
      </c>
    </row>
    <row r="22" spans="1:18" s="18" customFormat="1" ht="12.95" customHeight="1" x14ac:dyDescent="0.2">
      <c r="A22" s="6" t="s">
        <v>44</v>
      </c>
      <c r="B22" s="7" t="s">
        <v>45</v>
      </c>
      <c r="C22" s="6">
        <v>54890.8727</v>
      </c>
      <c r="D22" s="6">
        <v>2.3999999999999998E-3</v>
      </c>
      <c r="E22" s="18">
        <f t="shared" si="0"/>
        <v>2046.9827317616655</v>
      </c>
      <c r="F22" s="18">
        <f t="shared" si="1"/>
        <v>2047</v>
      </c>
      <c r="G22" s="18">
        <f t="shared" si="2"/>
        <v>-1.8289999999979045E-2</v>
      </c>
      <c r="K22" s="18">
        <f t="shared" ref="K22:K30" si="5">+G22</f>
        <v>-1.8289999999979045E-2</v>
      </c>
      <c r="O22" s="18">
        <f t="shared" ca="1" si="3"/>
        <v>-1.2059948555283185E-3</v>
      </c>
      <c r="Q22" s="42">
        <f t="shared" si="4"/>
        <v>39872.3727</v>
      </c>
      <c r="R22" s="18" t="str">
        <f>IF(ABS(C22-C21)&lt;0.00001,1,"")</f>
        <v/>
      </c>
    </row>
    <row r="23" spans="1:18" s="18" customFormat="1" ht="12.95" customHeight="1" x14ac:dyDescent="0.2">
      <c r="A23" s="6" t="s">
        <v>48</v>
      </c>
      <c r="B23" s="7" t="s">
        <v>45</v>
      </c>
      <c r="C23" s="6">
        <v>55588.890299999999</v>
      </c>
      <c r="D23" s="6">
        <v>1.1000000000000001E-3</v>
      </c>
      <c r="E23" s="18">
        <f t="shared" si="0"/>
        <v>2706.0059291709567</v>
      </c>
      <c r="F23" s="18">
        <f t="shared" si="1"/>
        <v>2706</v>
      </c>
      <c r="G23" s="18">
        <f t="shared" si="2"/>
        <v>6.2800000014249235E-3</v>
      </c>
      <c r="K23" s="18">
        <f t="shared" si="5"/>
        <v>6.2800000014249235E-3</v>
      </c>
      <c r="O23" s="18">
        <f t="shared" ca="1" si="3"/>
        <v>-4.9961223034490822E-3</v>
      </c>
      <c r="Q23" s="42">
        <f t="shared" si="4"/>
        <v>40570.390299999999</v>
      </c>
    </row>
    <row r="24" spans="1:18" s="18" customFormat="1" ht="12.95" customHeight="1" x14ac:dyDescent="0.2">
      <c r="A24" s="6" t="s">
        <v>48</v>
      </c>
      <c r="B24" s="7" t="s">
        <v>45</v>
      </c>
      <c r="C24" s="6">
        <v>55656.671999999999</v>
      </c>
      <c r="D24" s="6">
        <v>5.0000000000000001E-3</v>
      </c>
      <c r="E24" s="18">
        <f t="shared" si="0"/>
        <v>2770.0010385490546</v>
      </c>
      <c r="F24" s="18">
        <f t="shared" si="1"/>
        <v>2770</v>
      </c>
      <c r="G24" s="18">
        <f t="shared" si="2"/>
        <v>1.1000000013154931E-3</v>
      </c>
      <c r="K24" s="18">
        <f t="shared" si="5"/>
        <v>1.1000000013154931E-3</v>
      </c>
      <c r="O24" s="18">
        <f t="shared" ca="1" si="3"/>
        <v>-5.3642075184216591E-3</v>
      </c>
      <c r="Q24" s="42">
        <f t="shared" si="4"/>
        <v>40638.171999999999</v>
      </c>
    </row>
    <row r="25" spans="1:18" s="18" customFormat="1" ht="12.95" customHeight="1" x14ac:dyDescent="0.2">
      <c r="A25" s="43" t="s">
        <v>49</v>
      </c>
      <c r="B25" s="44" t="s">
        <v>45</v>
      </c>
      <c r="C25" s="43">
        <v>55947.944300000003</v>
      </c>
      <c r="D25" s="43">
        <v>1.1999999999999999E-3</v>
      </c>
      <c r="E25" s="18">
        <f t="shared" si="0"/>
        <v>3045.0015578235848</v>
      </c>
      <c r="F25" s="18">
        <f t="shared" si="1"/>
        <v>3045</v>
      </c>
      <c r="G25" s="18">
        <f t="shared" si="2"/>
        <v>1.6500000056112185E-3</v>
      </c>
      <c r="K25" s="18">
        <f t="shared" si="5"/>
        <v>1.6500000056112185E-3</v>
      </c>
      <c r="O25" s="18">
        <f t="shared" ca="1" si="3"/>
        <v>-6.9458236765069549E-3</v>
      </c>
      <c r="Q25" s="42">
        <f t="shared" si="4"/>
        <v>40929.444300000003</v>
      </c>
    </row>
    <row r="26" spans="1:18" s="18" customFormat="1" ht="12.95" customHeight="1" x14ac:dyDescent="0.2">
      <c r="A26" s="45" t="s">
        <v>50</v>
      </c>
      <c r="B26" s="46" t="s">
        <v>45</v>
      </c>
      <c r="C26" s="45">
        <v>56743.404999999999</v>
      </c>
      <c r="D26" s="45">
        <v>6.0000000000000001E-3</v>
      </c>
      <c r="E26" s="18">
        <f t="shared" si="0"/>
        <v>3796.0242453997021</v>
      </c>
      <c r="F26" s="18">
        <f t="shared" si="1"/>
        <v>3796</v>
      </c>
      <c r="G26" s="18">
        <f t="shared" si="2"/>
        <v>2.5680000006104819E-2</v>
      </c>
      <c r="K26" s="18">
        <f t="shared" si="5"/>
        <v>2.5680000006104819E-2</v>
      </c>
      <c r="O26" s="18">
        <f t="shared" ca="1" si="3"/>
        <v>-1.1265073620950802E-2</v>
      </c>
      <c r="Q26" s="42">
        <f t="shared" si="4"/>
        <v>41724.904999999999</v>
      </c>
    </row>
    <row r="27" spans="1:18" x14ac:dyDescent="0.2">
      <c r="A27" s="8" t="s">
        <v>1</v>
      </c>
      <c r="B27" s="9" t="s">
        <v>45</v>
      </c>
      <c r="C27" s="8">
        <v>57437.098299999998</v>
      </c>
      <c r="D27" s="8" t="s">
        <v>4</v>
      </c>
      <c r="E27">
        <f t="shared" si="0"/>
        <v>4450.9647176562794</v>
      </c>
      <c r="F27">
        <f t="shared" si="1"/>
        <v>4451</v>
      </c>
      <c r="G27">
        <f t="shared" si="2"/>
        <v>-3.7369999998190906E-2</v>
      </c>
      <c r="K27">
        <f t="shared" si="5"/>
        <v>-3.7369999998190906E-2</v>
      </c>
      <c r="O27">
        <f t="shared" ca="1" si="3"/>
        <v>-1.5032195742935777E-2</v>
      </c>
      <c r="Q27" s="1">
        <f t="shared" si="4"/>
        <v>42418.598299999998</v>
      </c>
    </row>
    <row r="28" spans="1:18" x14ac:dyDescent="0.2">
      <c r="A28" s="8" t="s">
        <v>1</v>
      </c>
      <c r="B28" s="9" t="s">
        <v>45</v>
      </c>
      <c r="C28" s="8">
        <v>57437.0985</v>
      </c>
      <c r="D28" s="8" t="s">
        <v>55</v>
      </c>
      <c r="E28">
        <f t="shared" si="0"/>
        <v>4450.964906483382</v>
      </c>
      <c r="F28">
        <f t="shared" si="1"/>
        <v>4451</v>
      </c>
      <c r="G28">
        <f t="shared" si="2"/>
        <v>-3.7169999995967373E-2</v>
      </c>
      <c r="K28">
        <f t="shared" si="5"/>
        <v>-3.7169999995967373E-2</v>
      </c>
      <c r="O28">
        <f t="shared" ca="1" si="3"/>
        <v>-1.5032195742935777E-2</v>
      </c>
      <c r="Q28" s="1">
        <f t="shared" si="4"/>
        <v>42418.5985</v>
      </c>
    </row>
    <row r="29" spans="1:18" x14ac:dyDescent="0.2">
      <c r="A29" s="10" t="s">
        <v>2</v>
      </c>
      <c r="B29" s="11" t="s">
        <v>5</v>
      </c>
      <c r="C29" s="12">
        <v>57786.084699999999</v>
      </c>
      <c r="D29" s="13" t="s">
        <v>56</v>
      </c>
      <c r="E29">
        <f t="shared" si="0"/>
        <v>4780.455167725675</v>
      </c>
      <c r="F29">
        <f t="shared" si="1"/>
        <v>4780.5</v>
      </c>
      <c r="G29">
        <f t="shared" si="2"/>
        <v>-4.748499999550404E-2</v>
      </c>
      <c r="K29">
        <f t="shared" si="5"/>
        <v>-4.748499999550404E-2</v>
      </c>
      <c r="O29">
        <f t="shared" ca="1" si="3"/>
        <v>-1.6927259466896161E-2</v>
      </c>
      <c r="Q29" s="1">
        <f t="shared" si="4"/>
        <v>42767.584699999999</v>
      </c>
    </row>
    <row r="30" spans="1:18" x14ac:dyDescent="0.2">
      <c r="A30" s="8" t="s">
        <v>0</v>
      </c>
      <c r="B30" s="14" t="s">
        <v>45</v>
      </c>
      <c r="C30" s="15">
        <v>57836.436500000003</v>
      </c>
      <c r="D30" s="15">
        <v>4.4999999999999997E-3</v>
      </c>
      <c r="E30">
        <f t="shared" si="0"/>
        <v>4827.9940897117622</v>
      </c>
      <c r="F30">
        <f t="shared" si="1"/>
        <v>4828</v>
      </c>
      <c r="G30">
        <f t="shared" si="2"/>
        <v>-6.2599999946542084E-3</v>
      </c>
      <c r="K30">
        <f t="shared" si="5"/>
        <v>-6.2599999946542084E-3</v>
      </c>
      <c r="O30">
        <f t="shared" ca="1" si="3"/>
        <v>-1.7200447712383621E-2</v>
      </c>
      <c r="Q30" s="1">
        <f t="shared" si="4"/>
        <v>42817.936500000003</v>
      </c>
    </row>
    <row r="31" spans="1:18" x14ac:dyDescent="0.2">
      <c r="A31" s="16" t="s">
        <v>57</v>
      </c>
      <c r="B31" s="17" t="s">
        <v>5</v>
      </c>
      <c r="C31" s="50">
        <v>59313.447999999858</v>
      </c>
      <c r="D31" s="51">
        <v>0.02</v>
      </c>
      <c r="E31">
        <f t="shared" ref="E31" si="6">+(C31-C$7)/C$8</f>
        <v>6222.4930842073154</v>
      </c>
      <c r="F31">
        <f t="shared" ref="F31" si="7">ROUND(2*E31,0)/2</f>
        <v>6222.5</v>
      </c>
      <c r="G31">
        <f t="shared" ref="G31" si="8">+C31-(C$7+F31*C$8)</f>
        <v>-7.32500013691606E-3</v>
      </c>
      <c r="K31">
        <f t="shared" ref="K31" si="9">+G31</f>
        <v>-7.32500013691606E-3</v>
      </c>
      <c r="O31">
        <f t="shared" ref="O31" ca="1" si="10">+C$11+C$12*$F31</f>
        <v>-2.5220679466747057E-2</v>
      </c>
      <c r="Q31" s="1">
        <f t="shared" ref="Q31" si="11">+C31-15018.5</f>
        <v>44294.947999999858</v>
      </c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2893" r:id="rId1" display="http://vsolj.cetus-net.org/bulletin.html" xr:uid="{00000000-0004-0000-0000-000000000000}"/>
    <hyperlink ref="H62886" r:id="rId2" display="https://www.aavso.org/ejaavso" xr:uid="{00000000-0004-0000-0000-000001000000}"/>
    <hyperlink ref="I62893" r:id="rId3" display="http://vsolj.cetus-net.org/bulletin.html" xr:uid="{00000000-0004-0000-0000-000002000000}"/>
    <hyperlink ref="AQ56544" r:id="rId4" display="http://cdsbib.u-strasbg.fr/cgi-bin/cdsbib?1990RMxAA..21..381G" xr:uid="{00000000-0004-0000-0000-000003000000}"/>
    <hyperlink ref="H62890" r:id="rId5" display="https://www.aavso.org/ejaavso" xr:uid="{00000000-0004-0000-0000-000004000000}"/>
    <hyperlink ref="AP3908" r:id="rId6" display="http://cdsbib.u-strasbg.fr/cgi-bin/cdsbib?1990RMxAA..21..381G" xr:uid="{00000000-0004-0000-0000-000005000000}"/>
    <hyperlink ref="AP3911" r:id="rId7" display="http://cdsbib.u-strasbg.fr/cgi-bin/cdsbib?1990RMxAA..21..381G" xr:uid="{00000000-0004-0000-0000-000006000000}"/>
    <hyperlink ref="AP3909" r:id="rId8" display="http://cdsbib.u-strasbg.fr/cgi-bin/cdsbib?1990RMxAA..21..381G" xr:uid="{00000000-0004-0000-0000-000007000000}"/>
    <hyperlink ref="AP3893" r:id="rId9" display="http://cdsbib.u-strasbg.fr/cgi-bin/cdsbib?1990RMxAA..21..381G" xr:uid="{00000000-0004-0000-0000-000008000000}"/>
    <hyperlink ref="AQ4122" r:id="rId10" display="http://cdsbib.u-strasbg.fr/cgi-bin/cdsbib?1990RMxAA..21..381G" xr:uid="{00000000-0004-0000-0000-000009000000}"/>
    <hyperlink ref="AQ4126" r:id="rId11" display="http://cdsbib.u-strasbg.fr/cgi-bin/cdsbib?1990RMxAA..21..381G" xr:uid="{00000000-0004-0000-0000-00000A000000}"/>
    <hyperlink ref="AQ63806" r:id="rId12" display="http://cdsbib.u-strasbg.fr/cgi-bin/cdsbib?1990RMxAA..21..381G" xr:uid="{00000000-0004-0000-0000-00000B000000}"/>
    <hyperlink ref="I1014" r:id="rId13" display="http://vsolj.cetus-net.org/bulletin.html" xr:uid="{00000000-0004-0000-0000-00000C000000}"/>
    <hyperlink ref="H1014" r:id="rId14" display="http://vsolj.cetus-net.org/bulletin.html" xr:uid="{00000000-0004-0000-0000-00000D000000}"/>
    <hyperlink ref="AQ64467" r:id="rId15" display="http://cdsbib.u-strasbg.fr/cgi-bin/cdsbib?1990RMxAA..21..381G" xr:uid="{00000000-0004-0000-0000-00000E000000}"/>
    <hyperlink ref="AQ64466" r:id="rId16" display="http://cdsbib.u-strasbg.fr/cgi-bin/cdsbib?1990RMxAA..21..381G" xr:uid="{00000000-0004-0000-0000-00000F000000}"/>
    <hyperlink ref="AP2184" r:id="rId17" display="http://cdsbib.u-strasbg.fr/cgi-bin/cdsbib?1990RMxAA..21..381G" xr:uid="{00000000-0004-0000-0000-000010000000}"/>
    <hyperlink ref="AP2202" r:id="rId18" display="http://cdsbib.u-strasbg.fr/cgi-bin/cdsbib?1990RMxAA..21..381G" xr:uid="{00000000-0004-0000-0000-000011000000}"/>
    <hyperlink ref="AP2203" r:id="rId19" display="http://cdsbib.u-strasbg.fr/cgi-bin/cdsbib?1990RMxAA..21..381G" xr:uid="{00000000-0004-0000-0000-000012000000}"/>
    <hyperlink ref="AP21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2024-03-06T05:53:09Z</dcterms:modified>
</cp:coreProperties>
</file>