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1F2DD25-7F6E-4DEC-A7E8-6F178E4C283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7" i="1" l="1"/>
  <c r="F37" i="1"/>
  <c r="G37" i="1"/>
  <c r="K37" i="1"/>
  <c r="D9" i="1"/>
  <c r="C9" i="1"/>
  <c r="Q37" i="1"/>
  <c r="E21" i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2" i="1"/>
  <c r="F32" i="1"/>
  <c r="G32" i="1"/>
  <c r="I32" i="1"/>
  <c r="E33" i="1"/>
  <c r="F33" i="1"/>
  <c r="G33" i="1"/>
  <c r="I33" i="1"/>
  <c r="E34" i="1"/>
  <c r="F34" i="1"/>
  <c r="G34" i="1"/>
  <c r="K34" i="1"/>
  <c r="E35" i="1"/>
  <c r="F35" i="1"/>
  <c r="G35" i="1"/>
  <c r="K35" i="1"/>
  <c r="E31" i="1"/>
  <c r="F31" i="1"/>
  <c r="G31" i="1"/>
  <c r="H31" i="1"/>
  <c r="E36" i="1"/>
  <c r="F36" i="1"/>
  <c r="G36" i="1"/>
  <c r="K36" i="1"/>
  <c r="Q21" i="1"/>
  <c r="Q22" i="1"/>
  <c r="Q23" i="1"/>
  <c r="Q24" i="1"/>
  <c r="Q25" i="1"/>
  <c r="Q26" i="1"/>
  <c r="Q27" i="1"/>
  <c r="Q28" i="1"/>
  <c r="Q29" i="1"/>
  <c r="Q30" i="1"/>
  <c r="Q32" i="1"/>
  <c r="Q33" i="1"/>
  <c r="Q34" i="1"/>
  <c r="Q35" i="1"/>
  <c r="G11" i="2"/>
  <c r="C11" i="2"/>
  <c r="E11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H11" i="2"/>
  <c r="B11" i="2"/>
  <c r="D11" i="2"/>
  <c r="A11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Q36" i="1"/>
  <c r="F16" i="1"/>
  <c r="C17" i="1"/>
  <c r="Q31" i="1"/>
  <c r="C12" i="1"/>
  <c r="C11" i="1"/>
  <c r="O31" i="1" l="1"/>
  <c r="O29" i="1"/>
  <c r="O25" i="1"/>
  <c r="O24" i="1"/>
  <c r="O26" i="1"/>
  <c r="O33" i="1"/>
  <c r="O32" i="1"/>
  <c r="O21" i="1"/>
  <c r="O37" i="1"/>
  <c r="O35" i="1"/>
  <c r="O27" i="1"/>
  <c r="O34" i="1"/>
  <c r="O30" i="1"/>
  <c r="O23" i="1"/>
  <c r="O36" i="1"/>
  <c r="O28" i="1"/>
  <c r="C15" i="1"/>
  <c r="F18" i="1" s="1"/>
  <c r="O22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<sst xmlns="http://schemas.openxmlformats.org/spreadsheetml/2006/main" count="200" uniqueCount="110">
  <si>
    <t>GCVS 4 Eph.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</si>
  <si>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</si>
  <si>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</si>
  <si>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</si>
  <si>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</si>
  <si>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</si>
  <si>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</si>
  <si>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</si>
  <si>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</si>
  <si>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</si>
  <si>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</si>
  <si>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</si>
  <si>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</si>
  <si>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</si>
  <si>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</si>
  <si>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</si>
  <si>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</si>
  <si>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</si>
  <si>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</si>
  <si>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</si>
  <si>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</si>
  <si>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</si>
  <si>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</si>
  <si>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</si>
  <si>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</si>
  <si>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</si>
  <si>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</si>
  <si>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</si>
  <si>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</si>
  <si>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</si>
  <si>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</si>
  <si>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</si>
  <si>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</si>
  <si>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</si>
  <si>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</si>
  <si>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</si>
  <si>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BR Sge</t>
  </si>
  <si>
    <t>BR Sge / GSC na</t>
  </si>
  <si>
    <t>EA</t>
  </si>
  <si>
    <t>Malkov</t>
  </si>
  <si>
    <t>IBVS 6010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</si>
  <si>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</si>
  <si>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</si>
  <si>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</si>
  <si>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</si>
  <si>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</si>
  <si>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</si>
  <si>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</si>
  <si>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</si>
  <si>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</si>
  <si>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</si>
  <si>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</si>
  <si>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</si>
  <si>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2427592.466 </t>
  </si>
  <si>
    <t> 03.06.1934 23:11 </t>
  </si>
  <si>
    <t> 0.048 </t>
  </si>
  <si>
    <t>P </t>
  </si>
  <si>
    <t> A.van de Voorde </t>
  </si>
  <si>
    <t> VSS 1.278 </t>
  </si>
  <si>
    <t>2428433.339 </t>
  </si>
  <si>
    <t> 21.09.1936 20:08 </t>
  </si>
  <si>
    <t> -0.026 </t>
  </si>
  <si>
    <t>2429163.328 </t>
  </si>
  <si>
    <t> 21.09.1938 19:52 </t>
  </si>
  <si>
    <t> 0.040 </t>
  </si>
  <si>
    <t>2429496.396 </t>
  </si>
  <si>
    <t> 20.08.1939 21:30 </t>
  </si>
  <si>
    <t> 0.036 </t>
  </si>
  <si>
    <t>2429541.311 </t>
  </si>
  <si>
    <t> 04.10.1939 19:27 </t>
  </si>
  <si>
    <t> 0.069 </t>
  </si>
  <si>
    <t>2429777.455 </t>
  </si>
  <si>
    <t> 27.05.1940 22:55 </t>
  </si>
  <si>
    <t> -0.008 </t>
  </si>
  <si>
    <t>2429907.310 </t>
  </si>
  <si>
    <t> 04.10.1940 19:26 </t>
  </si>
  <si>
    <t> -0.075 </t>
  </si>
  <si>
    <t>2430207.443 </t>
  </si>
  <si>
    <t> 31.07.1941 22:37 </t>
  </si>
  <si>
    <t> 0.057 </t>
  </si>
  <si>
    <t>2430443.608 </t>
  </si>
  <si>
    <t> 25.03.1942 02:35 </t>
  </si>
  <si>
    <t> 0.001 </t>
  </si>
  <si>
    <t>2430514.432 </t>
  </si>
  <si>
    <t> 03.06.1942 22:22 </t>
  </si>
  <si>
    <t> -0.041 </t>
  </si>
  <si>
    <t>2430547.471 </t>
  </si>
  <si>
    <t> 06.07.1942 23:18 </t>
  </si>
  <si>
    <t> -0.073 </t>
  </si>
  <si>
    <t>2431296.413 </t>
  </si>
  <si>
    <t> 24.07.1944 21:54 </t>
  </si>
  <si>
    <t>2454712.4193 </t>
  </si>
  <si>
    <t> 02.09.2008 22:03 </t>
  </si>
  <si>
    <t> 4.1812 </t>
  </si>
  <si>
    <t>C </t>
  </si>
  <si>
    <t>-I</t>
  </si>
  <si>
    <t> F.Agerer </t>
  </si>
  <si>
    <t>BAVM 203 </t>
  </si>
  <si>
    <t>2455097.4465 </t>
  </si>
  <si>
    <t> 22.09.2009 22:42 </t>
  </si>
  <si>
    <t>10405</t>
  </si>
  <si>
    <t> 4.1680 </t>
  </si>
  <si>
    <t>BAVM 212 </t>
  </si>
  <si>
    <t>2455782.4598 </t>
  </si>
  <si>
    <t> 08.08.2011 23:02 </t>
  </si>
  <si>
    <t>10695</t>
  </si>
  <si>
    <t> 4.1402 </t>
  </si>
  <si>
    <t>BAVM 220 </t>
  </si>
  <si>
    <t>I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</si>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</sst>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1" fillId="0" borderId="1" applyNumberFormat="0" applyFont="0" applyFill="0" applyAlignment="0" applyProtection="0"/>
  </cellStyleXfs>
  <cellXfs count="5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8" applyFont="1"/>
    <xf numFmtId="0" fontId="19" fillId="0" borderId="0" xfId="8" applyFont="1" applyAlignment="1">
      <alignment horizontal="center"/>
    </xf>
    <xf numFmtId="0" fontId="19" fillId="0" borderId="0" xfId="8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NumberFormat="1" applyFont="1" applyAlignment="1">
      <alignment horizontal="left" vertical="center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BR Sge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0">
                    <c:v>0</c:v>
                  </c:pt>
                  <c:pt idx="15">
                    <c:v>2.2000000000000001E-3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0">
                    <c:v>0</c:v>
                  </c:pt>
                  <c:pt idx="15">
                    <c:v>2.2000000000000001E-3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-1237</c:v>
                </c:pt>
                <c:pt idx="1">
                  <c:v>-881</c:v>
                </c:pt>
                <c:pt idx="2">
                  <c:v>-572</c:v>
                </c:pt>
                <c:pt idx="3">
                  <c:v>-431</c:v>
                </c:pt>
                <c:pt idx="4">
                  <c:v>-412</c:v>
                </c:pt>
                <c:pt idx="5">
                  <c:v>-312</c:v>
                </c:pt>
                <c:pt idx="6">
                  <c:v>-257</c:v>
                </c:pt>
                <c:pt idx="7">
                  <c:v>-130</c:v>
                </c:pt>
                <c:pt idx="8">
                  <c:v>-30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331</c:v>
                </c:pt>
                <c:pt idx="13">
                  <c:v>10244</c:v>
                </c:pt>
                <c:pt idx="14">
                  <c:v>10407</c:v>
                </c:pt>
                <c:pt idx="15">
                  <c:v>10697</c:v>
                </c:pt>
                <c:pt idx="16">
                  <c:v>11622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A9-4DC0-9082-CB5BC37CFF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5">
                    <c:v>2.2000000000000001E-3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5">
                    <c:v>2.2000000000000001E-3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-1237</c:v>
                </c:pt>
                <c:pt idx="1">
                  <c:v>-881</c:v>
                </c:pt>
                <c:pt idx="2">
                  <c:v>-572</c:v>
                </c:pt>
                <c:pt idx="3">
                  <c:v>-431</c:v>
                </c:pt>
                <c:pt idx="4">
                  <c:v>-412</c:v>
                </c:pt>
                <c:pt idx="5">
                  <c:v>-312</c:v>
                </c:pt>
                <c:pt idx="6">
                  <c:v>-257</c:v>
                </c:pt>
                <c:pt idx="7">
                  <c:v>-130</c:v>
                </c:pt>
                <c:pt idx="8">
                  <c:v>-30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331</c:v>
                </c:pt>
                <c:pt idx="13">
                  <c:v>10244</c:v>
                </c:pt>
                <c:pt idx="14">
                  <c:v>10407</c:v>
                </c:pt>
                <c:pt idx="15">
                  <c:v>10697</c:v>
                </c:pt>
                <c:pt idx="16">
                  <c:v>11622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4.8006999997596722E-2</c:v>
                </c:pt>
                <c:pt idx="1">
                  <c:v>-2.6109000002179528E-2</c:v>
                </c:pt>
                <c:pt idx="2">
                  <c:v>3.9691999998467509E-2</c:v>
                </c:pt>
                <c:pt idx="3">
                  <c:v>3.5940999998274492E-2</c:v>
                </c:pt>
                <c:pt idx="4">
                  <c:v>6.8931999998312676E-2</c:v>
                </c:pt>
                <c:pt idx="5">
                  <c:v>-8.1680000002961606E-3</c:v>
                </c:pt>
                <c:pt idx="6">
                  <c:v>-7.4773000000277534E-2</c:v>
                </c:pt>
                <c:pt idx="7">
                  <c:v>5.7429999997111736E-2</c:v>
                </c:pt>
                <c:pt idx="8">
                  <c:v>1.3299999991431832E-3</c:v>
                </c:pt>
                <c:pt idx="9">
                  <c:v>-4.1000000001076842E-2</c:v>
                </c:pt>
                <c:pt idx="11">
                  <c:v>-7.2953999999299413E-2</c:v>
                </c:pt>
                <c:pt idx="12">
                  <c:v>4.8158999998122454E-2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A9-4DC0-9082-CB5BC37CFFB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5">
                    <c:v>2.2000000000000001E-3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5">
                    <c:v>2.2000000000000001E-3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-1237</c:v>
                </c:pt>
                <c:pt idx="1">
                  <c:v>-881</c:v>
                </c:pt>
                <c:pt idx="2">
                  <c:v>-572</c:v>
                </c:pt>
                <c:pt idx="3">
                  <c:v>-431</c:v>
                </c:pt>
                <c:pt idx="4">
                  <c:v>-412</c:v>
                </c:pt>
                <c:pt idx="5">
                  <c:v>-312</c:v>
                </c:pt>
                <c:pt idx="6">
                  <c:v>-257</c:v>
                </c:pt>
                <c:pt idx="7">
                  <c:v>-130</c:v>
                </c:pt>
                <c:pt idx="8">
                  <c:v>-30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331</c:v>
                </c:pt>
                <c:pt idx="13">
                  <c:v>10244</c:v>
                </c:pt>
                <c:pt idx="14">
                  <c:v>10407</c:v>
                </c:pt>
                <c:pt idx="15">
                  <c:v>10697</c:v>
                </c:pt>
                <c:pt idx="16">
                  <c:v>11622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A9-4DC0-9082-CB5BC37CFFB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5">
                    <c:v>2.2000000000000001E-3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5">
                    <c:v>2.2000000000000001E-3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-1237</c:v>
                </c:pt>
                <c:pt idx="1">
                  <c:v>-881</c:v>
                </c:pt>
                <c:pt idx="2">
                  <c:v>-572</c:v>
                </c:pt>
                <c:pt idx="3">
                  <c:v>-431</c:v>
                </c:pt>
                <c:pt idx="4">
                  <c:v>-412</c:v>
                </c:pt>
                <c:pt idx="5">
                  <c:v>-312</c:v>
                </c:pt>
                <c:pt idx="6">
                  <c:v>-257</c:v>
                </c:pt>
                <c:pt idx="7">
                  <c:v>-130</c:v>
                </c:pt>
                <c:pt idx="8">
                  <c:v>-30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331</c:v>
                </c:pt>
                <c:pt idx="13">
                  <c:v>10244</c:v>
                </c:pt>
                <c:pt idx="14">
                  <c:v>10407</c:v>
                </c:pt>
                <c:pt idx="15">
                  <c:v>10697</c:v>
                </c:pt>
                <c:pt idx="16">
                  <c:v>11622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3">
                  <c:v>-0.54318400000192923</c:v>
                </c:pt>
                <c:pt idx="14">
                  <c:v>-0.55637700000079349</c:v>
                </c:pt>
                <c:pt idx="15">
                  <c:v>-0.58426699999836273</c:v>
                </c:pt>
                <c:pt idx="16">
                  <c:v>-0.69238199979008641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A9-4DC0-9082-CB5BC37CFFB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5">
                    <c:v>2.2000000000000001E-3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5">
                    <c:v>2.2000000000000001E-3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-1237</c:v>
                </c:pt>
                <c:pt idx="1">
                  <c:v>-881</c:v>
                </c:pt>
                <c:pt idx="2">
                  <c:v>-572</c:v>
                </c:pt>
                <c:pt idx="3">
                  <c:v>-431</c:v>
                </c:pt>
                <c:pt idx="4">
                  <c:v>-412</c:v>
                </c:pt>
                <c:pt idx="5">
                  <c:v>-312</c:v>
                </c:pt>
                <c:pt idx="6">
                  <c:v>-257</c:v>
                </c:pt>
                <c:pt idx="7">
                  <c:v>-130</c:v>
                </c:pt>
                <c:pt idx="8">
                  <c:v>-30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331</c:v>
                </c:pt>
                <c:pt idx="13">
                  <c:v>10244</c:v>
                </c:pt>
                <c:pt idx="14">
                  <c:v>10407</c:v>
                </c:pt>
                <c:pt idx="15">
                  <c:v>10697</c:v>
                </c:pt>
                <c:pt idx="16">
                  <c:v>11622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A9-4DC0-9082-CB5BC37CFF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5">
                    <c:v>2.2000000000000001E-3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5">
                    <c:v>2.2000000000000001E-3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-1237</c:v>
                </c:pt>
                <c:pt idx="1">
                  <c:v>-881</c:v>
                </c:pt>
                <c:pt idx="2">
                  <c:v>-572</c:v>
                </c:pt>
                <c:pt idx="3">
                  <c:v>-431</c:v>
                </c:pt>
                <c:pt idx="4">
                  <c:v>-412</c:v>
                </c:pt>
                <c:pt idx="5">
                  <c:v>-312</c:v>
                </c:pt>
                <c:pt idx="6">
                  <c:v>-257</c:v>
                </c:pt>
                <c:pt idx="7">
                  <c:v>-130</c:v>
                </c:pt>
                <c:pt idx="8">
                  <c:v>-30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331</c:v>
                </c:pt>
                <c:pt idx="13">
                  <c:v>10244</c:v>
                </c:pt>
                <c:pt idx="14">
                  <c:v>10407</c:v>
                </c:pt>
                <c:pt idx="15">
                  <c:v>10697</c:v>
                </c:pt>
                <c:pt idx="16">
                  <c:v>11622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A9-4DC0-9082-CB5BC37CFF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5">
                    <c:v>2.2000000000000001E-3</c:v>
                  </c:pt>
                  <c:pt idx="1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0">
                    <c:v>0</c:v>
                  </c:pt>
                  <c:pt idx="15">
                    <c:v>2.2000000000000001E-3</c:v>
                  </c:pt>
                  <c:pt idx="1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-1237</c:v>
                </c:pt>
                <c:pt idx="1">
                  <c:v>-881</c:v>
                </c:pt>
                <c:pt idx="2">
                  <c:v>-572</c:v>
                </c:pt>
                <c:pt idx="3">
                  <c:v>-431</c:v>
                </c:pt>
                <c:pt idx="4">
                  <c:v>-412</c:v>
                </c:pt>
                <c:pt idx="5">
                  <c:v>-312</c:v>
                </c:pt>
                <c:pt idx="6">
                  <c:v>-257</c:v>
                </c:pt>
                <c:pt idx="7">
                  <c:v>-130</c:v>
                </c:pt>
                <c:pt idx="8">
                  <c:v>-30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331</c:v>
                </c:pt>
                <c:pt idx="13">
                  <c:v>10244</c:v>
                </c:pt>
                <c:pt idx="14">
                  <c:v>10407</c:v>
                </c:pt>
                <c:pt idx="15">
                  <c:v>10697</c:v>
                </c:pt>
                <c:pt idx="16">
                  <c:v>11622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A9-4DC0-9082-CB5BC37CFF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-1237</c:v>
                </c:pt>
                <c:pt idx="1">
                  <c:v>-881</c:v>
                </c:pt>
                <c:pt idx="2">
                  <c:v>-572</c:v>
                </c:pt>
                <c:pt idx="3">
                  <c:v>-431</c:v>
                </c:pt>
                <c:pt idx="4">
                  <c:v>-412</c:v>
                </c:pt>
                <c:pt idx="5">
                  <c:v>-312</c:v>
                </c:pt>
                <c:pt idx="6">
                  <c:v>-257</c:v>
                </c:pt>
                <c:pt idx="7">
                  <c:v>-130</c:v>
                </c:pt>
                <c:pt idx="8">
                  <c:v>-30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331</c:v>
                </c:pt>
                <c:pt idx="13">
                  <c:v>10244</c:v>
                </c:pt>
                <c:pt idx="14">
                  <c:v>10407</c:v>
                </c:pt>
                <c:pt idx="15">
                  <c:v>10697</c:v>
                </c:pt>
                <c:pt idx="16">
                  <c:v>11622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0.72255723887138834</c:v>
                </c:pt>
                <c:pt idx="1">
                  <c:v>0.68343097592054491</c:v>
                </c:pt>
                <c:pt idx="2">
                  <c:v>0.6494702589210769</c:v>
                </c:pt>
                <c:pt idx="3">
                  <c:v>0.63397362106695065</c:v>
                </c:pt>
                <c:pt idx="4">
                  <c:v>0.63188542163979899</c:v>
                </c:pt>
                <c:pt idx="5">
                  <c:v>0.62089489833900025</c:v>
                </c:pt>
                <c:pt idx="6">
                  <c:v>0.61485011052356098</c:v>
                </c:pt>
                <c:pt idx="7">
                  <c:v>0.60089214593154661</c:v>
                </c:pt>
                <c:pt idx="8">
                  <c:v>0.58990162263074786</c:v>
                </c:pt>
                <c:pt idx="9">
                  <c:v>0.58660446564050828</c:v>
                </c:pt>
                <c:pt idx="10">
                  <c:v>0.58660446564050828</c:v>
                </c:pt>
                <c:pt idx="11">
                  <c:v>0.58506579237839651</c:v>
                </c:pt>
                <c:pt idx="12">
                  <c:v>0.55022583351486454</c:v>
                </c:pt>
                <c:pt idx="13">
                  <c:v>-0.53926474129331137</c:v>
                </c:pt>
                <c:pt idx="14">
                  <c:v>-0.55717929427361335</c:v>
                </c:pt>
                <c:pt idx="15">
                  <c:v>-0.58905181184592958</c:v>
                </c:pt>
                <c:pt idx="16">
                  <c:v>-0.69071415237831779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A9-4DC0-9082-CB5BC37CFFB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-1237</c:v>
                </c:pt>
                <c:pt idx="1">
                  <c:v>-881</c:v>
                </c:pt>
                <c:pt idx="2">
                  <c:v>-572</c:v>
                </c:pt>
                <c:pt idx="3">
                  <c:v>-431</c:v>
                </c:pt>
                <c:pt idx="4">
                  <c:v>-412</c:v>
                </c:pt>
                <c:pt idx="5">
                  <c:v>-312</c:v>
                </c:pt>
                <c:pt idx="6">
                  <c:v>-257</c:v>
                </c:pt>
                <c:pt idx="7">
                  <c:v>-130</c:v>
                </c:pt>
                <c:pt idx="8">
                  <c:v>-30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331</c:v>
                </c:pt>
                <c:pt idx="13">
                  <c:v>10244</c:v>
                </c:pt>
                <c:pt idx="14">
                  <c:v>10407</c:v>
                </c:pt>
                <c:pt idx="15">
                  <c:v>10697</c:v>
                </c:pt>
                <c:pt idx="16">
                  <c:v>11622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7A9-4DC0-9082-CB5BC37CF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537040"/>
        <c:axId val="1"/>
      </c:scatterChart>
      <c:valAx>
        <c:axId val="678537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537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60150375939849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08A7DFF-2A98-125F-98A5-6DE4E62E9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bav-astro.de/sfs/BAVM_link.php?BAVMnr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1406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27" customFormat="1" ht="20.25" x14ac:dyDescent="0.2">
      <c r="A1" s="54" t="s">
        <v>37</v>
      </c>
      <c r="E1" s="5" t="s">
        <v>36</v>
      </c>
      <c r="F1" s="27" t="s">
        <v>12</v>
      </c>
    </row>
    <row r="2" spans="1:6" s="27" customFormat="1" ht="12.95" customHeight="1" x14ac:dyDescent="0.2">
      <c r="A2" s="27" t="s">
        <v>22</v>
      </c>
      <c r="B2" s="27" t="s">
        <v>38</v>
      </c>
      <c r="C2" s="28"/>
      <c r="D2" s="28"/>
      <c r="E2" s="27">
        <v>0</v>
      </c>
    </row>
    <row r="3" spans="1:6" s="27" customFormat="1" ht="12.95" customHeight="1" thickBot="1" x14ac:dyDescent="0.25"/>
    <row r="4" spans="1:6" s="27" customFormat="1" ht="12.95" customHeight="1" thickTop="1" thickBot="1" x14ac:dyDescent="0.25">
      <c r="A4" s="29" t="s">
        <v>0</v>
      </c>
      <c r="C4" s="30">
        <v>30514.473000000002</v>
      </c>
      <c r="D4" s="31">
        <v>2.3622109999999998</v>
      </c>
    </row>
    <row r="5" spans="1:6" s="27" customFormat="1" ht="12.95" customHeight="1" thickTop="1" x14ac:dyDescent="0.2"/>
    <row r="6" spans="1:6" s="27" customFormat="1" ht="12.95" customHeight="1" x14ac:dyDescent="0.2">
      <c r="A6" s="32" t="s">
        <v>27</v>
      </c>
      <c r="C6" s="33">
        <v>-9.5</v>
      </c>
      <c r="D6" s="27" t="s">
        <v>28</v>
      </c>
    </row>
    <row r="7" spans="1:6" s="27" customFormat="1" ht="12.95" customHeight="1" x14ac:dyDescent="0.2">
      <c r="A7" s="27" t="s">
        <v>1</v>
      </c>
      <c r="C7" s="27">
        <v>30514.473000000002</v>
      </c>
    </row>
    <row r="8" spans="1:6" s="27" customFormat="1" ht="12.95" customHeight="1" x14ac:dyDescent="0.2">
      <c r="A8" s="27" t="s">
        <v>2</v>
      </c>
      <c r="C8" s="27">
        <v>2.3622109999999998</v>
      </c>
    </row>
    <row r="9" spans="1:6" s="27" customFormat="1" ht="12.95" customHeight="1" x14ac:dyDescent="0.2">
      <c r="A9" s="5" t="s">
        <v>32</v>
      </c>
      <c r="B9" s="34">
        <v>34</v>
      </c>
      <c r="C9" s="35" t="str">
        <f>"F"&amp;B9</f>
        <v>F34</v>
      </c>
      <c r="D9" s="36" t="str">
        <f>"G"&amp;B9</f>
        <v>G34</v>
      </c>
    </row>
    <row r="10" spans="1:6" s="27" customFormat="1" ht="12.95" customHeight="1" thickBot="1" x14ac:dyDescent="0.25">
      <c r="C10" s="37" t="s">
        <v>18</v>
      </c>
      <c r="D10" s="37" t="s">
        <v>19</v>
      </c>
    </row>
    <row r="11" spans="1:6" s="27" customFormat="1" ht="12.95" customHeight="1" x14ac:dyDescent="0.2">
      <c r="A11" s="27" t="s">
        <v>14</v>
      </c>
      <c r="C11" s="36">
        <f ca="1">INTERCEPT(INDIRECT($D$9):G992,INDIRECT($C$9):F992)</f>
        <v>0.58660446564050828</v>
      </c>
      <c r="D11" s="28"/>
    </row>
    <row r="12" spans="1:6" s="27" customFormat="1" ht="12.95" customHeight="1" x14ac:dyDescent="0.2">
      <c r="A12" s="27" t="s">
        <v>15</v>
      </c>
      <c r="C12" s="36">
        <f ca="1">SLOPE(INDIRECT($D$9):G992,INDIRECT($C$9):F992)</f>
        <v>-1.0990523300798709E-4</v>
      </c>
      <c r="D12" s="28"/>
    </row>
    <row r="13" spans="1:6" s="27" customFormat="1" ht="12.95" customHeight="1" x14ac:dyDescent="0.2">
      <c r="A13" s="27" t="s">
        <v>17</v>
      </c>
      <c r="C13" s="28" t="s">
        <v>12</v>
      </c>
    </row>
    <row r="14" spans="1:6" s="27" customFormat="1" ht="12.95" customHeight="1" x14ac:dyDescent="0.2"/>
    <row r="15" spans="1:6" s="27" customFormat="1" ht="12.95" customHeight="1" x14ac:dyDescent="0.2">
      <c r="A15" s="38" t="s">
        <v>16</v>
      </c>
      <c r="C15" s="39">
        <f ca="1">(C7+C11)+(C8+C12)*INT(MAX(F21:F3533))</f>
        <v>57967.398527847618</v>
      </c>
      <c r="E15" s="40" t="s">
        <v>34</v>
      </c>
      <c r="F15" s="33">
        <v>1</v>
      </c>
    </row>
    <row r="16" spans="1:6" s="27" customFormat="1" ht="12.95" customHeight="1" x14ac:dyDescent="0.2">
      <c r="A16" s="29" t="s">
        <v>3</v>
      </c>
      <c r="C16" s="41">
        <f ca="1">+C8+C12</f>
        <v>2.362101094766992</v>
      </c>
      <c r="E16" s="40" t="s">
        <v>29</v>
      </c>
      <c r="F16" s="42">
        <f ca="1">NOW()+15018.5+$C$6/24</f>
        <v>60375.787961111106</v>
      </c>
    </row>
    <row r="17" spans="1:18" s="27" customFormat="1" ht="12.95" customHeight="1" thickBot="1" x14ac:dyDescent="0.25">
      <c r="A17" s="40" t="s">
        <v>26</v>
      </c>
      <c r="C17" s="27">
        <f>COUNT(C21:C2191)</f>
        <v>17</v>
      </c>
      <c r="E17" s="40" t="s">
        <v>35</v>
      </c>
      <c r="F17" s="42">
        <f ca="1">ROUND(2*(F16-$C$7)/$C$8,0)/2+F15</f>
        <v>12642.5</v>
      </c>
    </row>
    <row r="18" spans="1:18" s="27" customFormat="1" ht="12.95" customHeight="1" thickTop="1" thickBot="1" x14ac:dyDescent="0.25">
      <c r="A18" s="29" t="s">
        <v>4</v>
      </c>
      <c r="C18" s="43">
        <f ca="1">+C15</f>
        <v>57967.398527847618</v>
      </c>
      <c r="D18" s="44">
        <f ca="1">+C16</f>
        <v>2.362101094766992</v>
      </c>
      <c r="E18" s="40" t="s">
        <v>30</v>
      </c>
      <c r="F18" s="36">
        <f ca="1">ROUND(2*(F16-$C$15)/$C$16,0)/2+F15</f>
        <v>1020.5</v>
      </c>
    </row>
    <row r="19" spans="1:18" s="27" customFormat="1" ht="12.95" customHeight="1" thickTop="1" x14ac:dyDescent="0.2">
      <c r="E19" s="40" t="s">
        <v>31</v>
      </c>
      <c r="F19" s="45">
        <f ca="1">+$C$15+$C$16*F18-15018.5-$C$6/24</f>
        <v>45359.818528390671</v>
      </c>
    </row>
    <row r="20" spans="1:18" s="27" customFormat="1" ht="12.95" customHeight="1" thickBot="1" x14ac:dyDescent="0.25">
      <c r="A20" s="37" t="s">
        <v>5</v>
      </c>
      <c r="B20" s="37" t="s">
        <v>6</v>
      </c>
      <c r="C20" s="37" t="s">
        <v>7</v>
      </c>
      <c r="D20" s="37" t="s">
        <v>11</v>
      </c>
      <c r="E20" s="37" t="s">
        <v>8</v>
      </c>
      <c r="F20" s="37" t="s">
        <v>9</v>
      </c>
      <c r="G20" s="37" t="s">
        <v>10</v>
      </c>
      <c r="H20" s="46" t="s">
        <v>49</v>
      </c>
      <c r="I20" s="46" t="s">
        <v>52</v>
      </c>
      <c r="J20" s="46" t="s">
        <v>46</v>
      </c>
      <c r="K20" s="46" t="s">
        <v>44</v>
      </c>
      <c r="L20" s="46" t="s">
        <v>23</v>
      </c>
      <c r="M20" s="46" t="s">
        <v>24</v>
      </c>
      <c r="N20" s="46" t="s">
        <v>25</v>
      </c>
      <c r="O20" s="46" t="s">
        <v>21</v>
      </c>
      <c r="P20" s="47" t="s">
        <v>20</v>
      </c>
      <c r="Q20" s="37" t="s">
        <v>13</v>
      </c>
      <c r="R20" s="48" t="s">
        <v>33</v>
      </c>
    </row>
    <row r="21" spans="1:18" s="27" customFormat="1" ht="12.95" customHeight="1" x14ac:dyDescent="0.2">
      <c r="A21" s="49" t="s">
        <v>58</v>
      </c>
      <c r="B21" s="50" t="s">
        <v>108</v>
      </c>
      <c r="C21" s="51">
        <v>27592.466</v>
      </c>
      <c r="D21" s="52"/>
      <c r="E21" s="27">
        <f t="shared" ref="E21:E36" si="0">+(C21-C$7)/C$8</f>
        <v>-1236.9796770906585</v>
      </c>
      <c r="F21" s="27">
        <f t="shared" ref="F21:F36" si="1">ROUND(2*E21,0)/2</f>
        <v>-1237</v>
      </c>
      <c r="G21" s="27">
        <f t="shared" ref="G21:G36" si="2">+C21-(C$7+F21*C$8)</f>
        <v>4.8006999997596722E-2</v>
      </c>
      <c r="I21" s="27">
        <f t="shared" ref="I21:I30" si="3">+G21</f>
        <v>4.8006999997596722E-2</v>
      </c>
      <c r="O21" s="27">
        <f t="shared" ref="O21:O36" ca="1" si="4">+C$11+C$12*$F21</f>
        <v>0.72255723887138834</v>
      </c>
      <c r="Q21" s="53">
        <f t="shared" ref="Q21:Q36" si="5">+C21-15018.5</f>
        <v>12573.966</v>
      </c>
    </row>
    <row r="22" spans="1:18" s="27" customFormat="1" ht="12.95" customHeight="1" x14ac:dyDescent="0.2">
      <c r="A22" s="49" t="s">
        <v>58</v>
      </c>
      <c r="B22" s="50" t="s">
        <v>108</v>
      </c>
      <c r="C22" s="51">
        <v>28433.339</v>
      </c>
      <c r="D22" s="52"/>
      <c r="E22" s="27">
        <f t="shared" si="0"/>
        <v>-881.01105278063733</v>
      </c>
      <c r="F22" s="27">
        <f t="shared" si="1"/>
        <v>-881</v>
      </c>
      <c r="G22" s="27">
        <f t="shared" si="2"/>
        <v>-2.6109000002179528E-2</v>
      </c>
      <c r="I22" s="27">
        <f t="shared" si="3"/>
        <v>-2.6109000002179528E-2</v>
      </c>
      <c r="O22" s="27">
        <f t="shared" ca="1" si="4"/>
        <v>0.68343097592054491</v>
      </c>
      <c r="Q22" s="53">
        <f t="shared" si="5"/>
        <v>13414.839</v>
      </c>
    </row>
    <row r="23" spans="1:18" s="27" customFormat="1" ht="12.95" customHeight="1" x14ac:dyDescent="0.2">
      <c r="A23" s="49" t="s">
        <v>58</v>
      </c>
      <c r="B23" s="50" t="s">
        <v>108</v>
      </c>
      <c r="C23" s="51">
        <v>29163.328000000001</v>
      </c>
      <c r="D23" s="52"/>
      <c r="E23" s="27">
        <f t="shared" si="0"/>
        <v>-571.98319709797329</v>
      </c>
      <c r="F23" s="27">
        <f t="shared" si="1"/>
        <v>-572</v>
      </c>
      <c r="G23" s="27">
        <f t="shared" si="2"/>
        <v>3.9691999998467509E-2</v>
      </c>
      <c r="I23" s="27">
        <f t="shared" si="3"/>
        <v>3.9691999998467509E-2</v>
      </c>
      <c r="O23" s="27">
        <f t="shared" ca="1" si="4"/>
        <v>0.6494702589210769</v>
      </c>
      <c r="Q23" s="53">
        <f t="shared" si="5"/>
        <v>14144.828000000001</v>
      </c>
    </row>
    <row r="24" spans="1:18" s="27" customFormat="1" ht="12.95" customHeight="1" x14ac:dyDescent="0.2">
      <c r="A24" s="49" t="s">
        <v>58</v>
      </c>
      <c r="B24" s="50" t="s">
        <v>108</v>
      </c>
      <c r="C24" s="51">
        <v>29496.396000000001</v>
      </c>
      <c r="D24" s="52"/>
      <c r="E24" s="27">
        <f t="shared" si="0"/>
        <v>-430.98478501708831</v>
      </c>
      <c r="F24" s="27">
        <f t="shared" si="1"/>
        <v>-431</v>
      </c>
      <c r="G24" s="27">
        <f t="shared" si="2"/>
        <v>3.5940999998274492E-2</v>
      </c>
      <c r="I24" s="27">
        <f t="shared" si="3"/>
        <v>3.5940999998274492E-2</v>
      </c>
      <c r="O24" s="27">
        <f t="shared" ca="1" si="4"/>
        <v>0.63397362106695065</v>
      </c>
      <c r="Q24" s="53">
        <f t="shared" si="5"/>
        <v>14477.896000000001</v>
      </c>
    </row>
    <row r="25" spans="1:18" s="27" customFormat="1" ht="12.95" customHeight="1" x14ac:dyDescent="0.2">
      <c r="A25" s="49" t="s">
        <v>58</v>
      </c>
      <c r="B25" s="50" t="s">
        <v>108</v>
      </c>
      <c r="C25" s="51">
        <v>29541.311000000002</v>
      </c>
      <c r="D25" s="52"/>
      <c r="E25" s="27">
        <f t="shared" si="0"/>
        <v>-411.97081886419136</v>
      </c>
      <c r="F25" s="27">
        <f t="shared" si="1"/>
        <v>-412</v>
      </c>
      <c r="G25" s="27">
        <f t="shared" si="2"/>
        <v>6.8931999998312676E-2</v>
      </c>
      <c r="I25" s="27">
        <f t="shared" si="3"/>
        <v>6.8931999998312676E-2</v>
      </c>
      <c r="O25" s="27">
        <f t="shared" ca="1" si="4"/>
        <v>0.63188542163979899</v>
      </c>
      <c r="Q25" s="53">
        <f t="shared" si="5"/>
        <v>14522.811000000002</v>
      </c>
    </row>
    <row r="26" spans="1:18" s="27" customFormat="1" ht="12.95" customHeight="1" x14ac:dyDescent="0.2">
      <c r="A26" s="49" t="s">
        <v>58</v>
      </c>
      <c r="B26" s="50" t="s">
        <v>108</v>
      </c>
      <c r="C26" s="51">
        <v>29777.455000000002</v>
      </c>
      <c r="D26" s="52"/>
      <c r="E26" s="27">
        <f t="shared" si="0"/>
        <v>-312.00345777748055</v>
      </c>
      <c r="F26" s="27">
        <f t="shared" si="1"/>
        <v>-312</v>
      </c>
      <c r="G26" s="27">
        <f t="shared" si="2"/>
        <v>-8.1680000002961606E-3</v>
      </c>
      <c r="I26" s="27">
        <f t="shared" si="3"/>
        <v>-8.1680000002961606E-3</v>
      </c>
      <c r="O26" s="27">
        <f t="shared" ca="1" si="4"/>
        <v>0.62089489833900025</v>
      </c>
      <c r="Q26" s="53">
        <f t="shared" si="5"/>
        <v>14758.955000000002</v>
      </c>
    </row>
    <row r="27" spans="1:18" s="27" customFormat="1" ht="12.95" customHeight="1" x14ac:dyDescent="0.2">
      <c r="A27" s="49" t="s">
        <v>58</v>
      </c>
      <c r="B27" s="50" t="s">
        <v>108</v>
      </c>
      <c r="C27" s="51">
        <v>29907.31</v>
      </c>
      <c r="D27" s="52"/>
      <c r="E27" s="27">
        <f t="shared" si="0"/>
        <v>-257.03165381923992</v>
      </c>
      <c r="F27" s="27">
        <f t="shared" si="1"/>
        <v>-257</v>
      </c>
      <c r="G27" s="27">
        <f t="shared" si="2"/>
        <v>-7.4773000000277534E-2</v>
      </c>
      <c r="I27" s="27">
        <f t="shared" si="3"/>
        <v>-7.4773000000277534E-2</v>
      </c>
      <c r="O27" s="27">
        <f t="shared" ca="1" si="4"/>
        <v>0.61485011052356098</v>
      </c>
      <c r="Q27" s="53">
        <f t="shared" si="5"/>
        <v>14888.810000000001</v>
      </c>
    </row>
    <row r="28" spans="1:18" s="27" customFormat="1" ht="12.95" customHeight="1" x14ac:dyDescent="0.2">
      <c r="A28" s="49" t="s">
        <v>58</v>
      </c>
      <c r="B28" s="50" t="s">
        <v>108</v>
      </c>
      <c r="C28" s="51">
        <v>30207.442999999999</v>
      </c>
      <c r="D28" s="52"/>
      <c r="E28" s="27">
        <f t="shared" si="0"/>
        <v>-129.97568803125651</v>
      </c>
      <c r="F28" s="27">
        <f t="shared" si="1"/>
        <v>-130</v>
      </c>
      <c r="G28" s="27">
        <f t="shared" si="2"/>
        <v>5.7429999997111736E-2</v>
      </c>
      <c r="I28" s="27">
        <f t="shared" si="3"/>
        <v>5.7429999997111736E-2</v>
      </c>
      <c r="O28" s="27">
        <f t="shared" ca="1" si="4"/>
        <v>0.60089214593154661</v>
      </c>
      <c r="Q28" s="53">
        <f t="shared" si="5"/>
        <v>15188.942999999999</v>
      </c>
    </row>
    <row r="29" spans="1:18" s="27" customFormat="1" ht="12.95" customHeight="1" x14ac:dyDescent="0.2">
      <c r="A29" s="49" t="s">
        <v>58</v>
      </c>
      <c r="B29" s="50" t="s">
        <v>108</v>
      </c>
      <c r="C29" s="51">
        <v>30443.608</v>
      </c>
      <c r="D29" s="52"/>
      <c r="E29" s="27">
        <f t="shared" si="0"/>
        <v>-29.999436968163135</v>
      </c>
      <c r="F29" s="27">
        <f t="shared" si="1"/>
        <v>-30</v>
      </c>
      <c r="G29" s="27">
        <f t="shared" si="2"/>
        <v>1.3299999991431832E-3</v>
      </c>
      <c r="I29" s="27">
        <f t="shared" si="3"/>
        <v>1.3299999991431832E-3</v>
      </c>
      <c r="O29" s="27">
        <f t="shared" ca="1" si="4"/>
        <v>0.58990162263074786</v>
      </c>
      <c r="Q29" s="53">
        <f t="shared" si="5"/>
        <v>15425.108</v>
      </c>
    </row>
    <row r="30" spans="1:18" s="27" customFormat="1" ht="12.95" customHeight="1" x14ac:dyDescent="0.2">
      <c r="A30" s="49" t="s">
        <v>58</v>
      </c>
      <c r="B30" s="50" t="s">
        <v>108</v>
      </c>
      <c r="C30" s="51">
        <v>30514.432000000001</v>
      </c>
      <c r="D30" s="52"/>
      <c r="E30" s="27">
        <f t="shared" si="0"/>
        <v>-1.7356620556367254E-2</v>
      </c>
      <c r="F30" s="27">
        <f t="shared" si="1"/>
        <v>0</v>
      </c>
      <c r="G30" s="27">
        <f t="shared" si="2"/>
        <v>-4.1000000001076842E-2</v>
      </c>
      <c r="I30" s="27">
        <f t="shared" si="3"/>
        <v>-4.1000000001076842E-2</v>
      </c>
      <c r="O30" s="27">
        <f t="shared" ca="1" si="4"/>
        <v>0.58660446564050828</v>
      </c>
      <c r="Q30" s="53">
        <f t="shared" si="5"/>
        <v>15495.932000000001</v>
      </c>
    </row>
    <row r="31" spans="1:18" s="27" customFormat="1" ht="12.95" customHeight="1" x14ac:dyDescent="0.2">
      <c r="A31" s="27" t="s">
        <v>39</v>
      </c>
      <c r="C31" s="52">
        <v>30514.473000000002</v>
      </c>
      <c r="D31" s="52" t="s">
        <v>12</v>
      </c>
      <c r="E31" s="27">
        <f t="shared" si="0"/>
        <v>0</v>
      </c>
      <c r="F31" s="27">
        <f t="shared" si="1"/>
        <v>0</v>
      </c>
      <c r="G31" s="27">
        <f t="shared" si="2"/>
        <v>0</v>
      </c>
      <c r="H31" s="27">
        <f>+G31</f>
        <v>0</v>
      </c>
      <c r="O31" s="27">
        <f t="shared" ca="1" si="4"/>
        <v>0.58660446564050828</v>
      </c>
      <c r="Q31" s="53">
        <f t="shared" si="5"/>
        <v>15495.973000000002</v>
      </c>
    </row>
    <row r="32" spans="1:18" s="27" customFormat="1" ht="12.95" customHeight="1" x14ac:dyDescent="0.2">
      <c r="A32" s="49" t="s">
        <v>58</v>
      </c>
      <c r="B32" s="50" t="s">
        <v>108</v>
      </c>
      <c r="C32" s="51">
        <v>30547.471000000001</v>
      </c>
      <c r="D32" s="52"/>
      <c r="E32" s="27">
        <f t="shared" si="0"/>
        <v>13.969116222047733</v>
      </c>
      <c r="F32" s="27">
        <f t="shared" si="1"/>
        <v>14</v>
      </c>
      <c r="G32" s="27">
        <f t="shared" si="2"/>
        <v>-7.2953999999299413E-2</v>
      </c>
      <c r="I32" s="27">
        <f>+G32</f>
        <v>-7.2953999999299413E-2</v>
      </c>
      <c r="O32" s="27">
        <f t="shared" ca="1" si="4"/>
        <v>0.58506579237839651</v>
      </c>
      <c r="Q32" s="53">
        <f t="shared" si="5"/>
        <v>15528.971000000001</v>
      </c>
    </row>
    <row r="33" spans="1:17" s="27" customFormat="1" ht="12.95" customHeight="1" x14ac:dyDescent="0.2">
      <c r="A33" s="49" t="s">
        <v>58</v>
      </c>
      <c r="B33" s="50" t="s">
        <v>108</v>
      </c>
      <c r="C33" s="51">
        <v>31296.413</v>
      </c>
      <c r="D33" s="52"/>
      <c r="E33" s="27">
        <f t="shared" si="0"/>
        <v>331.02038725583731</v>
      </c>
      <c r="F33" s="27">
        <f t="shared" si="1"/>
        <v>331</v>
      </c>
      <c r="G33" s="27">
        <f t="shared" si="2"/>
        <v>4.8158999998122454E-2</v>
      </c>
      <c r="I33" s="27">
        <f>+G33</f>
        <v>4.8158999998122454E-2</v>
      </c>
      <c r="O33" s="27">
        <f t="shared" ca="1" si="4"/>
        <v>0.55022583351486454</v>
      </c>
      <c r="Q33" s="53">
        <f t="shared" si="5"/>
        <v>16277.913</v>
      </c>
    </row>
    <row r="34" spans="1:17" x14ac:dyDescent="0.2">
      <c r="A34" s="21" t="s">
        <v>97</v>
      </c>
      <c r="B34" s="23" t="s">
        <v>108</v>
      </c>
      <c r="C34" s="22">
        <v>54712.419300000001</v>
      </c>
      <c r="D34" s="3"/>
      <c r="E34">
        <f t="shared" si="0"/>
        <v>10243.77005271756</v>
      </c>
      <c r="F34">
        <f t="shared" si="1"/>
        <v>10244</v>
      </c>
      <c r="G34">
        <f t="shared" si="2"/>
        <v>-0.54318400000192923</v>
      </c>
      <c r="K34">
        <f>+G34</f>
        <v>-0.54318400000192923</v>
      </c>
      <c r="O34">
        <f t="shared" ca="1" si="4"/>
        <v>-0.53926474129331137</v>
      </c>
      <c r="Q34" s="1">
        <f t="shared" si="5"/>
        <v>39693.919300000001</v>
      </c>
    </row>
    <row r="35" spans="1:17" x14ac:dyDescent="0.2">
      <c r="A35" s="21" t="s">
        <v>102</v>
      </c>
      <c r="B35" s="23" t="s">
        <v>108</v>
      </c>
      <c r="C35" s="22">
        <v>55097.446499999998</v>
      </c>
      <c r="D35" s="3"/>
      <c r="E35">
        <f t="shared" si="0"/>
        <v>10406.76446769573</v>
      </c>
      <c r="F35">
        <f t="shared" si="1"/>
        <v>10407</v>
      </c>
      <c r="G35">
        <f t="shared" si="2"/>
        <v>-0.55637700000079349</v>
      </c>
      <c r="K35">
        <f>+G35</f>
        <v>-0.55637700000079349</v>
      </c>
      <c r="O35">
        <f t="shared" ca="1" si="4"/>
        <v>-0.55717929427361335</v>
      </c>
      <c r="Q35" s="1">
        <f t="shared" si="5"/>
        <v>40078.946499999998</v>
      </c>
    </row>
    <row r="36" spans="1:17" x14ac:dyDescent="0.2">
      <c r="A36" s="6" t="s">
        <v>40</v>
      </c>
      <c r="B36" s="7" t="s">
        <v>41</v>
      </c>
      <c r="C36" s="6">
        <v>55782.459799999997</v>
      </c>
      <c r="D36" s="55">
        <v>2.2000000000000001E-3</v>
      </c>
      <c r="E36">
        <f t="shared" si="0"/>
        <v>10696.75266096043</v>
      </c>
      <c r="F36">
        <f t="shared" si="1"/>
        <v>10697</v>
      </c>
      <c r="G36">
        <f t="shared" si="2"/>
        <v>-0.58426699999836273</v>
      </c>
      <c r="K36">
        <f>+G36</f>
        <v>-0.58426699999836273</v>
      </c>
      <c r="O36">
        <f t="shared" ca="1" si="4"/>
        <v>-0.58905181184592958</v>
      </c>
      <c r="Q36" s="1">
        <f t="shared" si="5"/>
        <v>40763.959799999997</v>
      </c>
    </row>
    <row r="37" spans="1:17" x14ac:dyDescent="0.2">
      <c r="A37" s="24" t="s">
        <v>109</v>
      </c>
      <c r="B37" s="25" t="s">
        <v>108</v>
      </c>
      <c r="C37" s="26">
        <v>57967.396860000212</v>
      </c>
      <c r="D37" s="26">
        <v>4.0000000000000002E-4</v>
      </c>
      <c r="E37">
        <f>+(C37-C$7)/C$8</f>
        <v>11621.706892398779</v>
      </c>
      <c r="F37">
        <f>ROUND(2*E37,0)/2+0.5</f>
        <v>11622</v>
      </c>
      <c r="G37">
        <f>+C37-(C$7+F37*C$8)</f>
        <v>-0.69238199979008641</v>
      </c>
      <c r="K37">
        <f>+G37</f>
        <v>-0.69238199979008641</v>
      </c>
      <c r="O37">
        <f ca="1">+C$11+C$12*$F37</f>
        <v>-0.69071415237831779</v>
      </c>
      <c r="Q37" s="1">
        <f>+C37-15018.5</f>
        <v>42948.896860000212</v>
      </c>
    </row>
    <row r="38" spans="1:17" x14ac:dyDescent="0.2">
      <c r="C38" s="3"/>
      <c r="D38" s="3"/>
    </row>
    <row r="39" spans="1:17" x14ac:dyDescent="0.2">
      <c r="C39" s="3"/>
      <c r="D39" s="3"/>
    </row>
    <row r="40" spans="1:17" x14ac:dyDescent="0.2">
      <c r="C40" s="3"/>
      <c r="D40" s="3"/>
    </row>
    <row r="41" spans="1:17" x14ac:dyDescent="0.2">
      <c r="C41" s="3"/>
      <c r="D41" s="3"/>
    </row>
    <row r="42" spans="1:17" x14ac:dyDescent="0.2">
      <c r="C42" s="3"/>
      <c r="D42" s="3"/>
    </row>
    <row r="43" spans="1:17" x14ac:dyDescent="0.2">
      <c r="C43" s="3"/>
      <c r="D43" s="3"/>
    </row>
    <row r="44" spans="1:17" x14ac:dyDescent="0.2">
      <c r="C44" s="3"/>
      <c r="D44" s="3"/>
    </row>
    <row r="45" spans="1:17" x14ac:dyDescent="0.2">
      <c r="C45" s="3"/>
      <c r="D45" s="3"/>
    </row>
    <row r="46" spans="1:17" x14ac:dyDescent="0.2">
      <c r="C46" s="3"/>
      <c r="D46" s="3"/>
    </row>
    <row r="47" spans="1:17" x14ac:dyDescent="0.2">
      <c r="C47" s="3"/>
      <c r="D47" s="3"/>
    </row>
    <row r="48" spans="1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rotectedRanges>
    <protectedRange sqref="A37:D37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9"/>
  <sheetViews>
    <sheetView workbookViewId="0">
      <selection activeCell="A12" sqref="A12:C25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42</v>
      </c>
      <c r="I1" s="9" t="s">
        <v>43</v>
      </c>
      <c r="J1" s="10" t="s">
        <v>44</v>
      </c>
    </row>
    <row r="2" spans="1:16" x14ac:dyDescent="0.2">
      <c r="I2" s="11" t="s">
        <v>45</v>
      </c>
      <c r="J2" s="12" t="s">
        <v>46</v>
      </c>
    </row>
    <row r="3" spans="1:16" x14ac:dyDescent="0.2">
      <c r="A3" s="13" t="s">
        <v>47</v>
      </c>
      <c r="I3" s="11" t="s">
        <v>48</v>
      </c>
      <c r="J3" s="12" t="s">
        <v>49</v>
      </c>
    </row>
    <row r="4" spans="1:16" x14ac:dyDescent="0.2">
      <c r="I4" s="11" t="s">
        <v>50</v>
      </c>
      <c r="J4" s="12" t="s">
        <v>49</v>
      </c>
    </row>
    <row r="5" spans="1:16" ht="13.5" thickBot="1" x14ac:dyDescent="0.25">
      <c r="I5" s="14" t="s">
        <v>51</v>
      </c>
      <c r="J5" s="15" t="s">
        <v>52</v>
      </c>
    </row>
    <row r="10" spans="1:16" ht="13.5" thickBot="1" x14ac:dyDescent="0.25"/>
    <row r="11" spans="1:16" ht="12.75" customHeight="1" thickBot="1" x14ac:dyDescent="0.25">
      <c r="A11" s="3" t="str">
        <f t="shared" ref="A11:A25" si="0">P11</f>
        <v>BAVM 220 </v>
      </c>
      <c r="B11" s="2" t="str">
        <f t="shared" ref="B11:B25" si="1">IF(H11=INT(H11),"I","II")</f>
        <v>I</v>
      </c>
      <c r="C11" s="3">
        <f t="shared" ref="C11:C25" si="2">1*G11</f>
        <v>55782.459799999997</v>
      </c>
      <c r="D11" s="4" t="str">
        <f t="shared" ref="D11:D25" si="3">VLOOKUP(F11,I$1:J$5,2,FALSE)</f>
        <v>vis</v>
      </c>
      <c r="E11" s="16">
        <f>VLOOKUP(C11,Active!C$21:E$973,3,FALSE)</f>
        <v>10696.75266096043</v>
      </c>
      <c r="F11" s="2" t="s">
        <v>51</v>
      </c>
      <c r="G11" s="4" t="str">
        <f t="shared" ref="G11:G25" si="4">MID(I11,3,LEN(I11)-3)</f>
        <v>55782.4598</v>
      </c>
      <c r="H11" s="3">
        <f t="shared" ref="H11:H25" si="5">1*K11</f>
        <v>10695</v>
      </c>
      <c r="I11" s="17" t="s">
        <v>103</v>
      </c>
      <c r="J11" s="18" t="s">
        <v>104</v>
      </c>
      <c r="K11" s="17" t="s">
        <v>105</v>
      </c>
      <c r="L11" s="17" t="s">
        <v>106</v>
      </c>
      <c r="M11" s="18" t="s">
        <v>94</v>
      </c>
      <c r="N11" s="18" t="s">
        <v>95</v>
      </c>
      <c r="O11" s="19" t="s">
        <v>96</v>
      </c>
      <c r="P11" s="20" t="s">
        <v>107</v>
      </c>
    </row>
    <row r="12" spans="1:16" ht="12.75" customHeight="1" thickBot="1" x14ac:dyDescent="0.25">
      <c r="A12" s="3" t="str">
        <f t="shared" si="0"/>
        <v> VSS 1.278 </v>
      </c>
      <c r="B12" s="2" t="str">
        <f t="shared" si="1"/>
        <v>I</v>
      </c>
      <c r="C12" s="3">
        <f t="shared" si="2"/>
        <v>27592.466</v>
      </c>
      <c r="D12" s="4" t="str">
        <f t="shared" si="3"/>
        <v>vis</v>
      </c>
      <c r="E12" s="16">
        <f>VLOOKUP(C12,Active!C$21:E$973,3,FALSE)</f>
        <v>-1236.9796770906585</v>
      </c>
      <c r="F12" s="2" t="s">
        <v>51</v>
      </c>
      <c r="G12" s="4" t="str">
        <f t="shared" si="4"/>
        <v>27592.466</v>
      </c>
      <c r="H12" s="3">
        <f t="shared" si="5"/>
        <v>-1237</v>
      </c>
      <c r="I12" s="17" t="s">
        <v>53</v>
      </c>
      <c r="J12" s="18" t="s">
        <v>54</v>
      </c>
      <c r="K12" s="17">
        <v>-1237</v>
      </c>
      <c r="L12" s="17" t="s">
        <v>55</v>
      </c>
      <c r="M12" s="18" t="s">
        <v>56</v>
      </c>
      <c r="N12" s="18"/>
      <c r="O12" s="19" t="s">
        <v>57</v>
      </c>
      <c r="P12" s="19" t="s">
        <v>58</v>
      </c>
    </row>
    <row r="13" spans="1:16" ht="12.75" customHeight="1" thickBot="1" x14ac:dyDescent="0.25">
      <c r="A13" s="3" t="str">
        <f t="shared" si="0"/>
        <v> VSS 1.278 </v>
      </c>
      <c r="B13" s="2" t="str">
        <f t="shared" si="1"/>
        <v>I</v>
      </c>
      <c r="C13" s="3">
        <f t="shared" si="2"/>
        <v>28433.339</v>
      </c>
      <c r="D13" s="4" t="str">
        <f t="shared" si="3"/>
        <v>vis</v>
      </c>
      <c r="E13" s="16">
        <f>VLOOKUP(C13,Active!C$21:E$973,3,FALSE)</f>
        <v>-881.01105278063733</v>
      </c>
      <c r="F13" s="2" t="s">
        <v>51</v>
      </c>
      <c r="G13" s="4" t="str">
        <f t="shared" si="4"/>
        <v>28433.339</v>
      </c>
      <c r="H13" s="3">
        <f t="shared" si="5"/>
        <v>-881</v>
      </c>
      <c r="I13" s="17" t="s">
        <v>59</v>
      </c>
      <c r="J13" s="18" t="s">
        <v>60</v>
      </c>
      <c r="K13" s="17">
        <v>-881</v>
      </c>
      <c r="L13" s="17" t="s">
        <v>61</v>
      </c>
      <c r="M13" s="18" t="s">
        <v>56</v>
      </c>
      <c r="N13" s="18"/>
      <c r="O13" s="19" t="s">
        <v>57</v>
      </c>
      <c r="P13" s="19" t="s">
        <v>58</v>
      </c>
    </row>
    <row r="14" spans="1:16" ht="12.75" customHeight="1" thickBot="1" x14ac:dyDescent="0.25">
      <c r="A14" s="3" t="str">
        <f t="shared" si="0"/>
        <v> VSS 1.278 </v>
      </c>
      <c r="B14" s="2" t="str">
        <f t="shared" si="1"/>
        <v>I</v>
      </c>
      <c r="C14" s="3">
        <f t="shared" si="2"/>
        <v>29163.328000000001</v>
      </c>
      <c r="D14" s="4" t="str">
        <f t="shared" si="3"/>
        <v>vis</v>
      </c>
      <c r="E14" s="16">
        <f>VLOOKUP(C14,Active!C$21:E$973,3,FALSE)</f>
        <v>-571.98319709797329</v>
      </c>
      <c r="F14" s="2" t="s">
        <v>51</v>
      </c>
      <c r="G14" s="4" t="str">
        <f t="shared" si="4"/>
        <v>29163.328</v>
      </c>
      <c r="H14" s="3">
        <f t="shared" si="5"/>
        <v>-572</v>
      </c>
      <c r="I14" s="17" t="s">
        <v>62</v>
      </c>
      <c r="J14" s="18" t="s">
        <v>63</v>
      </c>
      <c r="K14" s="17">
        <v>-572</v>
      </c>
      <c r="L14" s="17" t="s">
        <v>64</v>
      </c>
      <c r="M14" s="18" t="s">
        <v>56</v>
      </c>
      <c r="N14" s="18"/>
      <c r="O14" s="19" t="s">
        <v>57</v>
      </c>
      <c r="P14" s="19" t="s">
        <v>58</v>
      </c>
    </row>
    <row r="15" spans="1:16" ht="12.75" customHeight="1" thickBot="1" x14ac:dyDescent="0.25">
      <c r="A15" s="3" t="str">
        <f t="shared" si="0"/>
        <v> VSS 1.278 </v>
      </c>
      <c r="B15" s="2" t="str">
        <f t="shared" si="1"/>
        <v>I</v>
      </c>
      <c r="C15" s="3">
        <f t="shared" si="2"/>
        <v>29496.396000000001</v>
      </c>
      <c r="D15" s="4" t="str">
        <f t="shared" si="3"/>
        <v>vis</v>
      </c>
      <c r="E15" s="16">
        <f>VLOOKUP(C15,Active!C$21:E$973,3,FALSE)</f>
        <v>-430.98478501708831</v>
      </c>
      <c r="F15" s="2" t="s">
        <v>51</v>
      </c>
      <c r="G15" s="4" t="str">
        <f t="shared" si="4"/>
        <v>29496.396</v>
      </c>
      <c r="H15" s="3">
        <f t="shared" si="5"/>
        <v>-431</v>
      </c>
      <c r="I15" s="17" t="s">
        <v>65</v>
      </c>
      <c r="J15" s="18" t="s">
        <v>66</v>
      </c>
      <c r="K15" s="17">
        <v>-431</v>
      </c>
      <c r="L15" s="17" t="s">
        <v>67</v>
      </c>
      <c r="M15" s="18" t="s">
        <v>56</v>
      </c>
      <c r="N15" s="18"/>
      <c r="O15" s="19" t="s">
        <v>57</v>
      </c>
      <c r="P15" s="19" t="s">
        <v>58</v>
      </c>
    </row>
    <row r="16" spans="1:16" ht="12.75" customHeight="1" thickBot="1" x14ac:dyDescent="0.25">
      <c r="A16" s="3" t="str">
        <f t="shared" si="0"/>
        <v> VSS 1.278 </v>
      </c>
      <c r="B16" s="2" t="str">
        <f t="shared" si="1"/>
        <v>I</v>
      </c>
      <c r="C16" s="3">
        <f t="shared" si="2"/>
        <v>29541.311000000002</v>
      </c>
      <c r="D16" s="4" t="str">
        <f t="shared" si="3"/>
        <v>vis</v>
      </c>
      <c r="E16" s="16">
        <f>VLOOKUP(C16,Active!C$21:E$973,3,FALSE)</f>
        <v>-411.97081886419136</v>
      </c>
      <c r="F16" s="2" t="s">
        <v>51</v>
      </c>
      <c r="G16" s="4" t="str">
        <f t="shared" si="4"/>
        <v>29541.311</v>
      </c>
      <c r="H16" s="3">
        <f t="shared" si="5"/>
        <v>-412</v>
      </c>
      <c r="I16" s="17" t="s">
        <v>68</v>
      </c>
      <c r="J16" s="18" t="s">
        <v>69</v>
      </c>
      <c r="K16" s="17">
        <v>-412</v>
      </c>
      <c r="L16" s="17" t="s">
        <v>70</v>
      </c>
      <c r="M16" s="18" t="s">
        <v>56</v>
      </c>
      <c r="N16" s="18"/>
      <c r="O16" s="19" t="s">
        <v>57</v>
      </c>
      <c r="P16" s="19" t="s">
        <v>58</v>
      </c>
    </row>
    <row r="17" spans="1:16" ht="12.75" customHeight="1" thickBot="1" x14ac:dyDescent="0.25">
      <c r="A17" s="3" t="str">
        <f t="shared" si="0"/>
        <v> VSS 1.278 </v>
      </c>
      <c r="B17" s="2" t="str">
        <f t="shared" si="1"/>
        <v>I</v>
      </c>
      <c r="C17" s="3">
        <f t="shared" si="2"/>
        <v>29777.455000000002</v>
      </c>
      <c r="D17" s="4" t="str">
        <f t="shared" si="3"/>
        <v>vis</v>
      </c>
      <c r="E17" s="16">
        <f>VLOOKUP(C17,Active!C$21:E$973,3,FALSE)</f>
        <v>-312.00345777748055</v>
      </c>
      <c r="F17" s="2" t="s">
        <v>51</v>
      </c>
      <c r="G17" s="4" t="str">
        <f t="shared" si="4"/>
        <v>29777.455</v>
      </c>
      <c r="H17" s="3">
        <f t="shared" si="5"/>
        <v>-312</v>
      </c>
      <c r="I17" s="17" t="s">
        <v>71</v>
      </c>
      <c r="J17" s="18" t="s">
        <v>72</v>
      </c>
      <c r="K17" s="17">
        <v>-312</v>
      </c>
      <c r="L17" s="17" t="s">
        <v>73</v>
      </c>
      <c r="M17" s="18" t="s">
        <v>56</v>
      </c>
      <c r="N17" s="18"/>
      <c r="O17" s="19" t="s">
        <v>57</v>
      </c>
      <c r="P17" s="19" t="s">
        <v>58</v>
      </c>
    </row>
    <row r="18" spans="1:16" ht="12.75" customHeight="1" thickBot="1" x14ac:dyDescent="0.25">
      <c r="A18" s="3" t="str">
        <f t="shared" si="0"/>
        <v> VSS 1.278 </v>
      </c>
      <c r="B18" s="2" t="str">
        <f t="shared" si="1"/>
        <v>I</v>
      </c>
      <c r="C18" s="3">
        <f t="shared" si="2"/>
        <v>29907.31</v>
      </c>
      <c r="D18" s="4" t="str">
        <f t="shared" si="3"/>
        <v>vis</v>
      </c>
      <c r="E18" s="16">
        <f>VLOOKUP(C18,Active!C$21:E$973,3,FALSE)</f>
        <v>-257.03165381923992</v>
      </c>
      <c r="F18" s="2" t="s">
        <v>51</v>
      </c>
      <c r="G18" s="4" t="str">
        <f t="shared" si="4"/>
        <v>29907.310</v>
      </c>
      <c r="H18" s="3">
        <f t="shared" si="5"/>
        <v>-257</v>
      </c>
      <c r="I18" s="17" t="s">
        <v>74</v>
      </c>
      <c r="J18" s="18" t="s">
        <v>75</v>
      </c>
      <c r="K18" s="17">
        <v>-257</v>
      </c>
      <c r="L18" s="17" t="s">
        <v>76</v>
      </c>
      <c r="M18" s="18" t="s">
        <v>56</v>
      </c>
      <c r="N18" s="18"/>
      <c r="O18" s="19" t="s">
        <v>57</v>
      </c>
      <c r="P18" s="19" t="s">
        <v>58</v>
      </c>
    </row>
    <row r="19" spans="1:16" ht="12.75" customHeight="1" thickBot="1" x14ac:dyDescent="0.25">
      <c r="A19" s="3" t="str">
        <f t="shared" si="0"/>
        <v> VSS 1.278 </v>
      </c>
      <c r="B19" s="2" t="str">
        <f t="shared" si="1"/>
        <v>I</v>
      </c>
      <c r="C19" s="3">
        <f t="shared" si="2"/>
        <v>30207.442999999999</v>
      </c>
      <c r="D19" s="4" t="str">
        <f t="shared" si="3"/>
        <v>vis</v>
      </c>
      <c r="E19" s="16">
        <f>VLOOKUP(C19,Active!C$21:E$973,3,FALSE)</f>
        <v>-129.97568803125651</v>
      </c>
      <c r="F19" s="2" t="s">
        <v>51</v>
      </c>
      <c r="G19" s="4" t="str">
        <f t="shared" si="4"/>
        <v>30207.443</v>
      </c>
      <c r="H19" s="3">
        <f t="shared" si="5"/>
        <v>-130</v>
      </c>
      <c r="I19" s="17" t="s">
        <v>77</v>
      </c>
      <c r="J19" s="18" t="s">
        <v>78</v>
      </c>
      <c r="K19" s="17">
        <v>-130</v>
      </c>
      <c r="L19" s="17" t="s">
        <v>79</v>
      </c>
      <c r="M19" s="18" t="s">
        <v>56</v>
      </c>
      <c r="N19" s="18"/>
      <c r="O19" s="19" t="s">
        <v>57</v>
      </c>
      <c r="P19" s="19" t="s">
        <v>58</v>
      </c>
    </row>
    <row r="20" spans="1:16" ht="12.75" customHeight="1" thickBot="1" x14ac:dyDescent="0.25">
      <c r="A20" s="3" t="str">
        <f t="shared" si="0"/>
        <v> VSS 1.278 </v>
      </c>
      <c r="B20" s="2" t="str">
        <f t="shared" si="1"/>
        <v>I</v>
      </c>
      <c r="C20" s="3">
        <f t="shared" si="2"/>
        <v>30443.608</v>
      </c>
      <c r="D20" s="4" t="str">
        <f t="shared" si="3"/>
        <v>vis</v>
      </c>
      <c r="E20" s="16">
        <f>VLOOKUP(C20,Active!C$21:E$973,3,FALSE)</f>
        <v>-29.999436968163135</v>
      </c>
      <c r="F20" s="2" t="s">
        <v>51</v>
      </c>
      <c r="G20" s="4" t="str">
        <f t="shared" si="4"/>
        <v>30443.608</v>
      </c>
      <c r="H20" s="3">
        <f t="shared" si="5"/>
        <v>-30</v>
      </c>
      <c r="I20" s="17" t="s">
        <v>80</v>
      </c>
      <c r="J20" s="18" t="s">
        <v>81</v>
      </c>
      <c r="K20" s="17">
        <v>-30</v>
      </c>
      <c r="L20" s="17" t="s">
        <v>82</v>
      </c>
      <c r="M20" s="18" t="s">
        <v>56</v>
      </c>
      <c r="N20" s="18"/>
      <c r="O20" s="19" t="s">
        <v>57</v>
      </c>
      <c r="P20" s="19" t="s">
        <v>58</v>
      </c>
    </row>
    <row r="21" spans="1:16" ht="12.75" customHeight="1" thickBot="1" x14ac:dyDescent="0.25">
      <c r="A21" s="3" t="str">
        <f t="shared" si="0"/>
        <v> VSS 1.278 </v>
      </c>
      <c r="B21" s="2" t="str">
        <f t="shared" si="1"/>
        <v>I</v>
      </c>
      <c r="C21" s="3">
        <f t="shared" si="2"/>
        <v>30514.432000000001</v>
      </c>
      <c r="D21" s="4" t="str">
        <f t="shared" si="3"/>
        <v>vis</v>
      </c>
      <c r="E21" s="16">
        <f>VLOOKUP(C21,Active!C$21:E$973,3,FALSE)</f>
        <v>-1.7356620556367254E-2</v>
      </c>
      <c r="F21" s="2" t="s">
        <v>51</v>
      </c>
      <c r="G21" s="4" t="str">
        <f t="shared" si="4"/>
        <v>30514.432</v>
      </c>
      <c r="H21" s="3">
        <f t="shared" si="5"/>
        <v>0</v>
      </c>
      <c r="I21" s="17" t="s">
        <v>83</v>
      </c>
      <c r="J21" s="18" t="s">
        <v>84</v>
      </c>
      <c r="K21" s="17">
        <v>0</v>
      </c>
      <c r="L21" s="17" t="s">
        <v>85</v>
      </c>
      <c r="M21" s="18" t="s">
        <v>56</v>
      </c>
      <c r="N21" s="18"/>
      <c r="O21" s="19" t="s">
        <v>57</v>
      </c>
      <c r="P21" s="19" t="s">
        <v>58</v>
      </c>
    </row>
    <row r="22" spans="1:16" ht="12.75" customHeight="1" thickBot="1" x14ac:dyDescent="0.25">
      <c r="A22" s="3" t="str">
        <f t="shared" si="0"/>
        <v> VSS 1.278 </v>
      </c>
      <c r="B22" s="2" t="str">
        <f t="shared" si="1"/>
        <v>I</v>
      </c>
      <c r="C22" s="3">
        <f t="shared" si="2"/>
        <v>30547.471000000001</v>
      </c>
      <c r="D22" s="4" t="str">
        <f t="shared" si="3"/>
        <v>vis</v>
      </c>
      <c r="E22" s="16">
        <f>VLOOKUP(C22,Active!C$21:E$973,3,FALSE)</f>
        <v>13.969116222047733</v>
      </c>
      <c r="F22" s="2" t="s">
        <v>51</v>
      </c>
      <c r="G22" s="4" t="str">
        <f t="shared" si="4"/>
        <v>30547.471</v>
      </c>
      <c r="H22" s="3">
        <f t="shared" si="5"/>
        <v>14</v>
      </c>
      <c r="I22" s="17" t="s">
        <v>86</v>
      </c>
      <c r="J22" s="18" t="s">
        <v>87</v>
      </c>
      <c r="K22" s="17">
        <v>14</v>
      </c>
      <c r="L22" s="17" t="s">
        <v>88</v>
      </c>
      <c r="M22" s="18" t="s">
        <v>56</v>
      </c>
      <c r="N22" s="18"/>
      <c r="O22" s="19" t="s">
        <v>57</v>
      </c>
      <c r="P22" s="19" t="s">
        <v>58</v>
      </c>
    </row>
    <row r="23" spans="1:16" ht="12.75" customHeight="1" thickBot="1" x14ac:dyDescent="0.25">
      <c r="A23" s="3" t="str">
        <f t="shared" si="0"/>
        <v> VSS 1.278 </v>
      </c>
      <c r="B23" s="2" t="str">
        <f t="shared" si="1"/>
        <v>I</v>
      </c>
      <c r="C23" s="3">
        <f t="shared" si="2"/>
        <v>31296.413</v>
      </c>
      <c r="D23" s="4" t="str">
        <f t="shared" si="3"/>
        <v>vis</v>
      </c>
      <c r="E23" s="16">
        <f>VLOOKUP(C23,Active!C$21:E$973,3,FALSE)</f>
        <v>331.02038725583731</v>
      </c>
      <c r="F23" s="2" t="s">
        <v>51</v>
      </c>
      <c r="G23" s="4" t="str">
        <f t="shared" si="4"/>
        <v>31296.413</v>
      </c>
      <c r="H23" s="3">
        <f t="shared" si="5"/>
        <v>331</v>
      </c>
      <c r="I23" s="17" t="s">
        <v>89</v>
      </c>
      <c r="J23" s="18" t="s">
        <v>90</v>
      </c>
      <c r="K23" s="17">
        <v>331</v>
      </c>
      <c r="L23" s="17" t="s">
        <v>55</v>
      </c>
      <c r="M23" s="18" t="s">
        <v>56</v>
      </c>
      <c r="N23" s="18"/>
      <c r="O23" s="19" t="s">
        <v>57</v>
      </c>
      <c r="P23" s="19" t="s">
        <v>58</v>
      </c>
    </row>
    <row r="24" spans="1:16" ht="12.75" customHeight="1" thickBot="1" x14ac:dyDescent="0.25">
      <c r="A24" s="3" t="str">
        <f t="shared" si="0"/>
        <v>BAVM 203 </v>
      </c>
      <c r="B24" s="2" t="str">
        <f t="shared" si="1"/>
        <v>I</v>
      </c>
      <c r="C24" s="3">
        <f t="shared" si="2"/>
        <v>54712.419300000001</v>
      </c>
      <c r="D24" s="4" t="str">
        <f t="shared" si="3"/>
        <v>vis</v>
      </c>
      <c r="E24" s="16">
        <f>VLOOKUP(C24,Active!C$21:E$973,3,FALSE)</f>
        <v>10243.77005271756</v>
      </c>
      <c r="F24" s="2" t="s">
        <v>51</v>
      </c>
      <c r="G24" s="4" t="str">
        <f t="shared" si="4"/>
        <v>54712.4193</v>
      </c>
      <c r="H24" s="3">
        <f t="shared" si="5"/>
        <v>10242</v>
      </c>
      <c r="I24" s="17" t="s">
        <v>91</v>
      </c>
      <c r="J24" s="18" t="s">
        <v>92</v>
      </c>
      <c r="K24" s="17">
        <v>10242</v>
      </c>
      <c r="L24" s="17" t="s">
        <v>93</v>
      </c>
      <c r="M24" s="18" t="s">
        <v>94</v>
      </c>
      <c r="N24" s="18" t="s">
        <v>95</v>
      </c>
      <c r="O24" s="19" t="s">
        <v>96</v>
      </c>
      <c r="P24" s="20" t="s">
        <v>97</v>
      </c>
    </row>
    <row r="25" spans="1:16" ht="12.75" customHeight="1" thickBot="1" x14ac:dyDescent="0.25">
      <c r="A25" s="3" t="str">
        <f t="shared" si="0"/>
        <v>BAVM 212 </v>
      </c>
      <c r="B25" s="2" t="str">
        <f t="shared" si="1"/>
        <v>I</v>
      </c>
      <c r="C25" s="3">
        <f t="shared" si="2"/>
        <v>55097.446499999998</v>
      </c>
      <c r="D25" s="4" t="str">
        <f t="shared" si="3"/>
        <v>vis</v>
      </c>
      <c r="E25" s="16">
        <f>VLOOKUP(C25,Active!C$21:E$973,3,FALSE)</f>
        <v>10406.76446769573</v>
      </c>
      <c r="F25" s="2" t="s">
        <v>51</v>
      </c>
      <c r="G25" s="4" t="str">
        <f t="shared" si="4"/>
        <v>55097.4465</v>
      </c>
      <c r="H25" s="3">
        <f t="shared" si="5"/>
        <v>10405</v>
      </c>
      <c r="I25" s="17" t="s">
        <v>98</v>
      </c>
      <c r="J25" s="18" t="s">
        <v>99</v>
      </c>
      <c r="K25" s="17" t="s">
        <v>100</v>
      </c>
      <c r="L25" s="17" t="s">
        <v>101</v>
      </c>
      <c r="M25" s="18" t="s">
        <v>94</v>
      </c>
      <c r="N25" s="18" t="s">
        <v>95</v>
      </c>
      <c r="O25" s="19" t="s">
        <v>96</v>
      </c>
      <c r="P25" s="20" t="s">
        <v>102</v>
      </c>
    </row>
    <row r="26" spans="1:16" x14ac:dyDescent="0.2">
      <c r="B26" s="2"/>
      <c r="E26" s="16"/>
      <c r="F26" s="2"/>
    </row>
    <row r="27" spans="1:16" x14ac:dyDescent="0.2">
      <c r="B27" s="2"/>
      <c r="E27" s="16"/>
      <c r="F27" s="2"/>
    </row>
    <row r="28" spans="1:16" x14ac:dyDescent="0.2">
      <c r="B28" s="2"/>
      <c r="E28" s="16"/>
      <c r="F28" s="2"/>
    </row>
    <row r="29" spans="1:16" x14ac:dyDescent="0.2">
      <c r="B29" s="2"/>
      <c r="E29" s="16"/>
      <c r="F29" s="2"/>
    </row>
    <row r="30" spans="1:16" x14ac:dyDescent="0.2">
      <c r="B30" s="2"/>
      <c r="E30" s="16"/>
      <c r="F30" s="2"/>
    </row>
    <row r="31" spans="1:16" x14ac:dyDescent="0.2">
      <c r="B31" s="2"/>
      <c r="E31" s="16"/>
      <c r="F31" s="2"/>
    </row>
    <row r="32" spans="1:16" x14ac:dyDescent="0.2">
      <c r="B32" s="2"/>
      <c r="E32" s="16"/>
      <c r="F32" s="2"/>
    </row>
    <row r="33" spans="2:6" x14ac:dyDescent="0.2">
      <c r="B33" s="2"/>
      <c r="E33" s="16"/>
      <c r="F33" s="2"/>
    </row>
    <row r="34" spans="2:6" x14ac:dyDescent="0.2">
      <c r="B34" s="2"/>
      <c r="E34" s="16"/>
      <c r="F34" s="2"/>
    </row>
    <row r="35" spans="2:6" x14ac:dyDescent="0.2">
      <c r="B35" s="2"/>
      <c r="E35" s="16"/>
      <c r="F35" s="2"/>
    </row>
    <row r="36" spans="2:6" x14ac:dyDescent="0.2">
      <c r="B36" s="2"/>
      <c r="E36" s="16"/>
      <c r="F36" s="2"/>
    </row>
    <row r="37" spans="2:6" x14ac:dyDescent="0.2">
      <c r="B37" s="2"/>
      <c r="E37" s="16"/>
      <c r="F37" s="2"/>
    </row>
    <row r="38" spans="2:6" x14ac:dyDescent="0.2">
      <c r="B38" s="2"/>
      <c r="E38" s="16"/>
      <c r="F38" s="2"/>
    </row>
    <row r="39" spans="2:6" x14ac:dyDescent="0.2">
      <c r="B39" s="2"/>
      <c r="E39" s="16"/>
      <c r="F39" s="2"/>
    </row>
    <row r="40" spans="2:6" x14ac:dyDescent="0.2">
      <c r="B40" s="2"/>
      <c r="E40" s="16"/>
      <c r="F40" s="2"/>
    </row>
    <row r="41" spans="2:6" x14ac:dyDescent="0.2">
      <c r="B41" s="2"/>
      <c r="E41" s="16"/>
      <c r="F41" s="2"/>
    </row>
    <row r="42" spans="2:6" x14ac:dyDescent="0.2">
      <c r="B42" s="2"/>
      <c r="E42" s="16"/>
      <c r="F42" s="2"/>
    </row>
    <row r="43" spans="2:6" x14ac:dyDescent="0.2">
      <c r="B43" s="2"/>
      <c r="E43" s="16"/>
      <c r="F43" s="2"/>
    </row>
    <row r="44" spans="2:6" x14ac:dyDescent="0.2">
      <c r="B44" s="2"/>
      <c r="E44" s="16"/>
      <c r="F44" s="2"/>
    </row>
    <row r="45" spans="2:6" x14ac:dyDescent="0.2">
      <c r="B45" s="2"/>
      <c r="E45" s="16"/>
      <c r="F45" s="2"/>
    </row>
    <row r="46" spans="2:6" x14ac:dyDescent="0.2">
      <c r="B46" s="2"/>
      <c r="E46" s="16"/>
      <c r="F46" s="2"/>
    </row>
    <row r="47" spans="2:6" x14ac:dyDescent="0.2">
      <c r="B47" s="2"/>
      <c r="E47" s="16"/>
      <c r="F47" s="2"/>
    </row>
    <row r="48" spans="2:6" x14ac:dyDescent="0.2">
      <c r="B48" s="2"/>
      <c r="E48" s="16"/>
      <c r="F48" s="2"/>
    </row>
    <row r="49" spans="2:6" x14ac:dyDescent="0.2">
      <c r="B49" s="2"/>
      <c r="E49" s="16"/>
      <c r="F49" s="2"/>
    </row>
    <row r="50" spans="2:6" x14ac:dyDescent="0.2">
      <c r="B50" s="2"/>
      <c r="E50" s="16"/>
      <c r="F50" s="2"/>
    </row>
    <row r="51" spans="2:6" x14ac:dyDescent="0.2">
      <c r="B51" s="2"/>
      <c r="E51" s="16"/>
      <c r="F51" s="2"/>
    </row>
    <row r="52" spans="2:6" x14ac:dyDescent="0.2">
      <c r="B52" s="2"/>
      <c r="E52" s="16"/>
      <c r="F52" s="2"/>
    </row>
    <row r="53" spans="2:6" x14ac:dyDescent="0.2">
      <c r="B53" s="2"/>
      <c r="E53" s="16"/>
      <c r="F53" s="2"/>
    </row>
    <row r="54" spans="2:6" x14ac:dyDescent="0.2">
      <c r="B54" s="2"/>
      <c r="E54" s="16"/>
      <c r="F54" s="2"/>
    </row>
    <row r="55" spans="2:6" x14ac:dyDescent="0.2">
      <c r="B55" s="2"/>
      <c r="E55" s="16"/>
      <c r="F55" s="2"/>
    </row>
    <row r="56" spans="2:6" x14ac:dyDescent="0.2">
      <c r="B56" s="2"/>
      <c r="E56" s="16"/>
      <c r="F56" s="2"/>
    </row>
    <row r="57" spans="2:6" x14ac:dyDescent="0.2">
      <c r="B57" s="2"/>
      <c r="E57" s="16"/>
      <c r="F57" s="2"/>
    </row>
    <row r="58" spans="2:6" x14ac:dyDescent="0.2">
      <c r="B58" s="2"/>
      <c r="E58" s="16"/>
      <c r="F58" s="2"/>
    </row>
    <row r="59" spans="2:6" x14ac:dyDescent="0.2">
      <c r="B59" s="2"/>
      <c r="E59" s="16"/>
      <c r="F59" s="2"/>
    </row>
    <row r="60" spans="2:6" x14ac:dyDescent="0.2">
      <c r="B60" s="2"/>
      <c r="E60" s="16"/>
      <c r="F60" s="2"/>
    </row>
    <row r="61" spans="2:6" x14ac:dyDescent="0.2">
      <c r="B61" s="2"/>
      <c r="E61" s="16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</sheetData>
  <phoneticPr fontId="7" type="noConversion"/>
  <hyperlinks>
    <hyperlink ref="P24" r:id="rId1" display="http://www.bav-astro.de/sfs/BAVM_link.php?BAVMnr=203"/>
    <hyperlink ref="P25" r:id="rId2" display="http://www.bav-astro.de/sfs/BAVM_link.php?BAVMnr=212"/>
    <hyperlink ref="P11" r:id="rId3" display="http://www.bav-astro.de/sfs/BAVM_link.php?BAVMnr=22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2024-03-06T05:54:39Z</dcterms:modified>
</cp:coreProperties>
</file>