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F5E9191-D8F7-4145-B09D-AFB3065B6FC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C7" i="1"/>
  <c r="C8" i="1"/>
  <c r="E21" i="1"/>
  <c r="F21" i="1"/>
  <c r="G21" i="1"/>
  <c r="H21" i="1"/>
  <c r="E22" i="1"/>
  <c r="F22" i="1"/>
  <c r="G22" i="1"/>
  <c r="H22" i="1"/>
  <c r="E23" i="1"/>
  <c r="F23" i="1"/>
  <c r="G23" i="1"/>
  <c r="E24" i="1"/>
  <c r="F24" i="1"/>
  <c r="G24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K41" i="1"/>
  <c r="E42" i="1"/>
  <c r="F42" i="1"/>
  <c r="G42" i="1"/>
  <c r="K42" i="1"/>
  <c r="E43" i="1"/>
  <c r="F43" i="1"/>
  <c r="G43" i="1"/>
  <c r="J43" i="1"/>
  <c r="E44" i="1"/>
  <c r="F44" i="1"/>
  <c r="G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25" i="1"/>
  <c r="F25" i="1"/>
  <c r="E26" i="1"/>
  <c r="F26" i="1"/>
  <c r="U26" i="1"/>
  <c r="E27" i="1"/>
  <c r="F27" i="1"/>
  <c r="E28" i="1"/>
  <c r="F28" i="1"/>
  <c r="U28" i="1"/>
  <c r="E29" i="1"/>
  <c r="F29" i="1"/>
  <c r="U29" i="1"/>
  <c r="E30" i="1"/>
  <c r="F30" i="1"/>
  <c r="U30" i="1"/>
  <c r="E31" i="1"/>
  <c r="F31" i="1"/>
  <c r="U31" i="1"/>
  <c r="E32" i="1"/>
  <c r="F32" i="1"/>
  <c r="U32" i="1"/>
  <c r="E33" i="1"/>
  <c r="F33" i="1"/>
  <c r="E34" i="1"/>
  <c r="F34" i="1"/>
  <c r="U34" i="1"/>
  <c r="E35" i="1"/>
  <c r="F35" i="1"/>
  <c r="E36" i="1"/>
  <c r="F36" i="1"/>
  <c r="U36" i="1"/>
  <c r="E37" i="1"/>
  <c r="F37" i="1"/>
  <c r="U37" i="1"/>
  <c r="Q51" i="1"/>
  <c r="Q50" i="1"/>
  <c r="Q46" i="1"/>
  <c r="U25" i="1"/>
  <c r="U27" i="1"/>
  <c r="U33" i="1"/>
  <c r="U35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H24" i="1"/>
  <c r="Q23" i="1"/>
  <c r="H23" i="1"/>
  <c r="Q22" i="1"/>
  <c r="G21" i="2"/>
  <c r="C21" i="2"/>
  <c r="E21" i="2"/>
  <c r="G20" i="2"/>
  <c r="C20" i="2"/>
  <c r="E20" i="2"/>
  <c r="G19" i="2"/>
  <c r="C19" i="2"/>
  <c r="E19" i="2"/>
  <c r="G38" i="2"/>
  <c r="C38" i="2"/>
  <c r="E38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H21" i="2"/>
  <c r="D21" i="2"/>
  <c r="B21" i="2"/>
  <c r="A21" i="2"/>
  <c r="H20" i="2"/>
  <c r="B20" i="2"/>
  <c r="D20" i="2"/>
  <c r="A20" i="2"/>
  <c r="H19" i="2"/>
  <c r="D19" i="2"/>
  <c r="B19" i="2"/>
  <c r="A19" i="2"/>
  <c r="H38" i="2"/>
  <c r="B38" i="2"/>
  <c r="D38" i="2"/>
  <c r="A38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Q49" i="1"/>
  <c r="Q48" i="1"/>
  <c r="Q42" i="1"/>
  <c r="Q41" i="1"/>
  <c r="Q47" i="1"/>
  <c r="K44" i="1"/>
  <c r="Q44" i="1"/>
  <c r="Q45" i="1"/>
  <c r="F16" i="1"/>
  <c r="F17" i="1" s="1"/>
  <c r="C17" i="1"/>
  <c r="Q43" i="1"/>
  <c r="Q38" i="1"/>
  <c r="Q39" i="1"/>
  <c r="Q40" i="1"/>
  <c r="Q21" i="1"/>
  <c r="C11" i="1"/>
  <c r="C12" i="1"/>
  <c r="C16" i="1" l="1"/>
  <c r="D18" i="1" s="1"/>
  <c r="O46" i="1"/>
  <c r="O26" i="1"/>
  <c r="O25" i="1"/>
  <c r="O24" i="1"/>
  <c r="O39" i="1"/>
  <c r="O23" i="1"/>
  <c r="O44" i="1"/>
  <c r="O22" i="1"/>
  <c r="O48" i="1"/>
  <c r="O35" i="1"/>
  <c r="O42" i="1"/>
  <c r="O40" i="1"/>
  <c r="O38" i="1"/>
  <c r="O34" i="1"/>
  <c r="O33" i="1"/>
  <c r="O30" i="1"/>
  <c r="O28" i="1"/>
  <c r="O31" i="1"/>
  <c r="O43" i="1"/>
  <c r="O47" i="1"/>
  <c r="O45" i="1"/>
  <c r="C15" i="1"/>
  <c r="O21" i="1"/>
  <c r="O37" i="1"/>
  <c r="O36" i="1"/>
  <c r="O27" i="1"/>
  <c r="O41" i="1"/>
  <c r="O49" i="1"/>
  <c r="O51" i="1"/>
  <c r="O32" i="1"/>
  <c r="O50" i="1"/>
  <c r="O29" i="1"/>
  <c r="C18" i="1" l="1"/>
  <c r="F18" i="1"/>
  <c r="F19" i="1" s="1"/>
</calcChain>
</file>

<file path=xl/sharedStrings.xml><?xml version="1.0" encoding="utf-8"?>
<sst xmlns="http://schemas.openxmlformats.org/spreadsheetml/2006/main" count="324" uniqueCount="177">
  <si>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</si>
  <si>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</si>
  <si>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</si>
  <si>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</si>
  <si>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</si>
  <si>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</si>
  <si>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</si>
  <si>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</si>
  <si>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</si>
  <si>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</si>
  <si>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</si>
  <si>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</si>
  <si>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</si>
  <si>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</si>
  <si>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</si>
  <si>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</si>
  <si>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</si>
  <si>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</si>
  <si>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</si>
  <si>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</si>
  <si>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</si>
  <si>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</si>
  <si>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</si>
  <si>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</si>
  <si>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</si>
  <si>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</si>
  <si>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</si>
  <si>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</si>
  <si>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</si>
  <si>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Boninsegna R</t>
  </si>
  <si>
    <t>BBSAG Bull.96</t>
  </si>
  <si>
    <t>B</t>
  </si>
  <si>
    <t>Vandenbroere J</t>
  </si>
  <si>
    <t>BBSAG Bull.102</t>
  </si>
  <si>
    <t>EB/DM</t>
  </si>
  <si>
    <t>IBVS 5296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</si>
  <si>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</si>
  <si>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</si>
  <si>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</si>
  <si>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</si>
  <si>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</si>
  <si>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</si>
  <si>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</si>
  <si>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</si>
  <si>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</si>
  <si>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OEJV 0001</t>
  </si>
  <si>
    <t>I</t>
  </si>
  <si>
    <t>vis</t>
  </si>
  <si>
    <t>OEJV 0074</t>
  </si>
  <si>
    <t>DM Sge / GSC 603-0363 / HD 230988</t>
  </si>
  <si>
    <t>OEJV 0160</t>
  </si>
  <si>
    <t>IBVS 6114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</si>
  <si>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</si>
  <si>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</si>
  <si>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</si>
  <si>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</si>
  <si>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</si>
  <si>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</si>
  <si>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</si>
  <si>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</si>
  <si>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</si>
  <si>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</si>
  <si>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</si>
  <si>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</si>
  <si>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2424822.182 </t>
  </si>
  <si>
    <t> 02.11.1926 16:22 </t>
  </si>
  <si>
    <t> 0.002 </t>
  </si>
  <si>
    <t>P </t>
  </si>
  <si>
    <t> V.Albitzky </t>
  </si>
  <si>
    <t> AN 235.317 </t>
  </si>
  <si>
    <t>2426956.386 </t>
  </si>
  <si>
    <t> 05.09.1932 21:15 </t>
  </si>
  <si>
    <t> -0.015 </t>
  </si>
  <si>
    <t> W.Strohmeier </t>
  </si>
  <si>
    <t>IBVS 33 </t>
  </si>
  <si>
    <t>2428778.387 </t>
  </si>
  <si>
    <t> 01.09.1937 21:17 </t>
  </si>
  <si>
    <t> -0.012 </t>
  </si>
  <si>
    <t>2429079.470 </t>
  </si>
  <si>
    <t> 29.06.1938 23:16 </t>
  </si>
  <si>
    <t> -0.051 </t>
  </si>
  <si>
    <t>2436814.372 </t>
  </si>
  <si>
    <t> 02.09.1959 20:55 </t>
  </si>
  <si>
    <t> 0.034 </t>
  </si>
  <si>
    <t>2437015.596 </t>
  </si>
  <si>
    <t> 22.03.1960 02:18 </t>
  </si>
  <si>
    <t> 0.048 </t>
  </si>
  <si>
    <t> R.Weber </t>
  </si>
  <si>
    <t>2437115.457 </t>
  </si>
  <si>
    <t> 29.06.1960 22:58 </t>
  </si>
  <si>
    <t>2437172.376 </t>
  </si>
  <si>
    <t> 25.08.1960 21:01 </t>
  </si>
  <si>
    <t> 0.022 </t>
  </si>
  <si>
    <t>2437190.363 </t>
  </si>
  <si>
    <t> 12.09.1960 20:42 </t>
  </si>
  <si>
    <t> -0.031 </t>
  </si>
  <si>
    <t>2437201.465 </t>
  </si>
  <si>
    <t> 23.09.1960 23:09 </t>
  </si>
  <si>
    <t> -0.030 </t>
  </si>
  <si>
    <t>2437222.297 </t>
  </si>
  <si>
    <t> 14.10.1960 19:07 </t>
  </si>
  <si>
    <t> -0.013 </t>
  </si>
  <si>
    <t>2437222.344 </t>
  </si>
  <si>
    <t> 14.10.1960 20:15 </t>
  </si>
  <si>
    <t>2437222.368 </t>
  </si>
  <si>
    <t> 14.10.1960 20:49 </t>
  </si>
  <si>
    <t> 0.058 </t>
  </si>
  <si>
    <t>2437441.571 </t>
  </si>
  <si>
    <t> 22.05.1961 01:42 </t>
  </si>
  <si>
    <t> 0.011 </t>
  </si>
  <si>
    <t>2437466.488 </t>
  </si>
  <si>
    <t> 15.06.1961 23:42 </t>
  </si>
  <si>
    <t> -0.050 </t>
  </si>
  <si>
    <t>2437605.293 </t>
  </si>
  <si>
    <t> 01.11.1961 19:01 </t>
  </si>
  <si>
    <t> -0.011 </t>
  </si>
  <si>
    <t>2448126.550 </t>
  </si>
  <si>
    <t> 23.08.1990 01:12 </t>
  </si>
  <si>
    <t> 0.008 </t>
  </si>
  <si>
    <t>V </t>
  </si>
  <si>
    <t> R.Boninsegnia </t>
  </si>
  <si>
    <t> BBS 96 </t>
  </si>
  <si>
    <t>2448126.556 </t>
  </si>
  <si>
    <t> 23.08.1990 01:20 </t>
  </si>
  <si>
    <t> 0.014 </t>
  </si>
  <si>
    <t> J.Vandenbroere </t>
  </si>
  <si>
    <t>2448756.543 </t>
  </si>
  <si>
    <t> 14.05.1992 01:01 </t>
  </si>
  <si>
    <t> 0.003 </t>
  </si>
  <si>
    <t> BBS 102 </t>
  </si>
  <si>
    <t>2451449.99623 </t>
  </si>
  <si>
    <t> 28.09.1999 11:54 </t>
  </si>
  <si>
    <t> 0.00849 </t>
  </si>
  <si>
    <t>C </t>
  </si>
  <si>
    <t> P.Zasche </t>
  </si>
  <si>
    <t>IBVS 6114 </t>
  </si>
  <si>
    <t>2451451.38814 </t>
  </si>
  <si>
    <t> 29.09.1999 21:18 </t>
  </si>
  <si>
    <t> 0.01274 </t>
  </si>
  <si>
    <t>2451709.4885 </t>
  </si>
  <si>
    <t> 13.06.2000 23:43 </t>
  </si>
  <si>
    <t> 0.0083 </t>
  </si>
  <si>
    <t>E </t>
  </si>
  <si>
    <t>o</t>
  </si>
  <si>
    <t> K.&amp; M.Rätz </t>
  </si>
  <si>
    <t>BAVM 152 </t>
  </si>
  <si>
    <t>2453177.630 </t>
  </si>
  <si>
    <t> 21.06.2004 03:07 </t>
  </si>
  <si>
    <t> 0.006 </t>
  </si>
  <si>
    <t> R.Meyer </t>
  </si>
  <si>
    <t>BAVM 174 </t>
  </si>
  <si>
    <t>2454304.41758 </t>
  </si>
  <si>
    <t> 22.07.2007 22:01 </t>
  </si>
  <si>
    <t> 0.01322 </t>
  </si>
  <si>
    <t>U</t>
  </si>
  <si>
    <t> F.Lomoz </t>
  </si>
  <si>
    <t>OEJV 0074 </t>
  </si>
  <si>
    <t>2455045.4258 </t>
  </si>
  <si>
    <t> 01.08.2009 22:13 </t>
  </si>
  <si>
    <t> 0.0110 </t>
  </si>
  <si>
    <t> H.Jungbluth </t>
  </si>
  <si>
    <t>BAVM 212 </t>
  </si>
  <si>
    <t>2456169.43338 </t>
  </si>
  <si>
    <t> 29.08.2012 22:24 </t>
  </si>
  <si>
    <t> 0.01398 </t>
  </si>
  <si>
    <t> M.Urbanik </t>
  </si>
  <si>
    <t>OEJV 0160 </t>
  </si>
  <si>
    <t>2456495.53238 </t>
  </si>
  <si>
    <t> 22.07.2013 00:46 </t>
  </si>
  <si>
    <t> 0.01288 </t>
  </si>
  <si>
    <t>R</t>
  </si>
  <si>
    <t> H.Kucáková </t>
  </si>
  <si>
    <t>2456728.66084 </t>
  </si>
  <si>
    <t> 12.03.2014 03:51 </t>
  </si>
  <si>
    <t> 0.01446 </t>
  </si>
  <si>
    <t>BAD?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</si>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</sst>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8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NumberFormat="1" applyFont="1" applyAlignment="1">
      <alignment horizontal="left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top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Sge - O-C Diagr.</a:t>
            </a:r>
          </a:p>
        </c:rich>
      </c:tx>
      <c:layout>
        <c:manualLayout>
          <c:xMode val="edge"/>
          <c:yMode val="edge"/>
          <c:x val="0.380216383307573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1236476043277"/>
          <c:y val="0.14769252958613219"/>
          <c:w val="0.81761978361669241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769</c:v>
                </c:pt>
                <c:pt idx="3">
                  <c:v>1425.5</c:v>
                </c:pt>
                <c:pt idx="4">
                  <c:v>1534</c:v>
                </c:pt>
                <c:pt idx="5">
                  <c:v>4321</c:v>
                </c:pt>
                <c:pt idx="6">
                  <c:v>4393.5</c:v>
                </c:pt>
                <c:pt idx="7">
                  <c:v>4429.5</c:v>
                </c:pt>
                <c:pt idx="8">
                  <c:v>4450</c:v>
                </c:pt>
                <c:pt idx="9">
                  <c:v>4456.5</c:v>
                </c:pt>
                <c:pt idx="10">
                  <c:v>4460.5</c:v>
                </c:pt>
                <c:pt idx="11">
                  <c:v>4468</c:v>
                </c:pt>
                <c:pt idx="12">
                  <c:v>4468</c:v>
                </c:pt>
                <c:pt idx="13">
                  <c:v>4468</c:v>
                </c:pt>
                <c:pt idx="14">
                  <c:v>4547</c:v>
                </c:pt>
                <c:pt idx="15">
                  <c:v>4556</c:v>
                </c:pt>
                <c:pt idx="16">
                  <c:v>4606</c:v>
                </c:pt>
                <c:pt idx="17">
                  <c:v>8397</c:v>
                </c:pt>
                <c:pt idx="18">
                  <c:v>8397</c:v>
                </c:pt>
                <c:pt idx="19">
                  <c:v>8624</c:v>
                </c:pt>
                <c:pt idx="20">
                  <c:v>9594.5</c:v>
                </c:pt>
                <c:pt idx="21">
                  <c:v>9595</c:v>
                </c:pt>
                <c:pt idx="22">
                  <c:v>9688</c:v>
                </c:pt>
                <c:pt idx="23">
                  <c:v>10217</c:v>
                </c:pt>
                <c:pt idx="24">
                  <c:v>10623</c:v>
                </c:pt>
                <c:pt idx="25">
                  <c:v>10890</c:v>
                </c:pt>
                <c:pt idx="26">
                  <c:v>11295</c:v>
                </c:pt>
                <c:pt idx="27">
                  <c:v>11412.5</c:v>
                </c:pt>
                <c:pt idx="28">
                  <c:v>11496.5</c:v>
                </c:pt>
                <c:pt idx="29">
                  <c:v>11807</c:v>
                </c:pt>
                <c:pt idx="30">
                  <c:v>11927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  <c:pt idx="1">
                  <c:v>2.0000000004074536E-3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E3-468B-8137-25415CADF5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9">
                    <c:v>5.0000000000000001E-3</c:v>
                  </c:pt>
                  <c:pt idx="20">
                    <c:v>1.5499999999999999E-3</c:v>
                  </c:pt>
                  <c:pt idx="21">
                    <c:v>6.0800000000000003E-3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1.1000000000000001E-3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9">
                    <c:v>5.0000000000000001E-3</c:v>
                  </c:pt>
                  <c:pt idx="20">
                    <c:v>1.5499999999999999E-3</c:v>
                  </c:pt>
                  <c:pt idx="21">
                    <c:v>6.0800000000000003E-3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769</c:v>
                </c:pt>
                <c:pt idx="3">
                  <c:v>1425.5</c:v>
                </c:pt>
                <c:pt idx="4">
                  <c:v>1534</c:v>
                </c:pt>
                <c:pt idx="5">
                  <c:v>4321</c:v>
                </c:pt>
                <c:pt idx="6">
                  <c:v>4393.5</c:v>
                </c:pt>
                <c:pt idx="7">
                  <c:v>4429.5</c:v>
                </c:pt>
                <c:pt idx="8">
                  <c:v>4450</c:v>
                </c:pt>
                <c:pt idx="9">
                  <c:v>4456.5</c:v>
                </c:pt>
                <c:pt idx="10">
                  <c:v>4460.5</c:v>
                </c:pt>
                <c:pt idx="11">
                  <c:v>4468</c:v>
                </c:pt>
                <c:pt idx="12">
                  <c:v>4468</c:v>
                </c:pt>
                <c:pt idx="13">
                  <c:v>4468</c:v>
                </c:pt>
                <c:pt idx="14">
                  <c:v>4547</c:v>
                </c:pt>
                <c:pt idx="15">
                  <c:v>4556</c:v>
                </c:pt>
                <c:pt idx="16">
                  <c:v>4606</c:v>
                </c:pt>
                <c:pt idx="17">
                  <c:v>8397</c:v>
                </c:pt>
                <c:pt idx="18">
                  <c:v>8397</c:v>
                </c:pt>
                <c:pt idx="19">
                  <c:v>8624</c:v>
                </c:pt>
                <c:pt idx="20">
                  <c:v>9594.5</c:v>
                </c:pt>
                <c:pt idx="21">
                  <c:v>9595</c:v>
                </c:pt>
                <c:pt idx="22">
                  <c:v>9688</c:v>
                </c:pt>
                <c:pt idx="23">
                  <c:v>10217</c:v>
                </c:pt>
                <c:pt idx="24">
                  <c:v>10623</c:v>
                </c:pt>
                <c:pt idx="25">
                  <c:v>10890</c:v>
                </c:pt>
                <c:pt idx="26">
                  <c:v>11295</c:v>
                </c:pt>
                <c:pt idx="27">
                  <c:v>11412.5</c:v>
                </c:pt>
                <c:pt idx="28">
                  <c:v>11496.5</c:v>
                </c:pt>
                <c:pt idx="29">
                  <c:v>11807</c:v>
                </c:pt>
                <c:pt idx="30">
                  <c:v>11927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7">
                  <c:v>7.9600000026402995E-3</c:v>
                </c:pt>
                <c:pt idx="18">
                  <c:v>1.3959999996586703E-2</c:v>
                </c:pt>
                <c:pt idx="19">
                  <c:v>3.3199999961652793E-3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E3-468B-8137-25415CADF5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9">
                    <c:v>5.0000000000000001E-3</c:v>
                  </c:pt>
                  <c:pt idx="20">
                    <c:v>1.5499999999999999E-3</c:v>
                  </c:pt>
                  <c:pt idx="21">
                    <c:v>6.0800000000000003E-3</c:v>
                  </c:pt>
                  <c:pt idx="22">
                    <c:v>2.0000000000000001E-4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9">
                    <c:v>5.0000000000000001E-3</c:v>
                  </c:pt>
                  <c:pt idx="20">
                    <c:v>1.5499999999999999E-3</c:v>
                  </c:pt>
                  <c:pt idx="21">
                    <c:v>6.0800000000000003E-3</c:v>
                  </c:pt>
                  <c:pt idx="22">
                    <c:v>2.0000000000000001E-4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769</c:v>
                </c:pt>
                <c:pt idx="3">
                  <c:v>1425.5</c:v>
                </c:pt>
                <c:pt idx="4">
                  <c:v>1534</c:v>
                </c:pt>
                <c:pt idx="5">
                  <c:v>4321</c:v>
                </c:pt>
                <c:pt idx="6">
                  <c:v>4393.5</c:v>
                </c:pt>
                <c:pt idx="7">
                  <c:v>4429.5</c:v>
                </c:pt>
                <c:pt idx="8">
                  <c:v>4450</c:v>
                </c:pt>
                <c:pt idx="9">
                  <c:v>4456.5</c:v>
                </c:pt>
                <c:pt idx="10">
                  <c:v>4460.5</c:v>
                </c:pt>
                <c:pt idx="11">
                  <c:v>4468</c:v>
                </c:pt>
                <c:pt idx="12">
                  <c:v>4468</c:v>
                </c:pt>
                <c:pt idx="13">
                  <c:v>4468</c:v>
                </c:pt>
                <c:pt idx="14">
                  <c:v>4547</c:v>
                </c:pt>
                <c:pt idx="15">
                  <c:v>4556</c:v>
                </c:pt>
                <c:pt idx="16">
                  <c:v>4606</c:v>
                </c:pt>
                <c:pt idx="17">
                  <c:v>8397</c:v>
                </c:pt>
                <c:pt idx="18">
                  <c:v>8397</c:v>
                </c:pt>
                <c:pt idx="19">
                  <c:v>8624</c:v>
                </c:pt>
                <c:pt idx="20">
                  <c:v>9594.5</c:v>
                </c:pt>
                <c:pt idx="21">
                  <c:v>9595</c:v>
                </c:pt>
                <c:pt idx="22">
                  <c:v>9688</c:v>
                </c:pt>
                <c:pt idx="23">
                  <c:v>10217</c:v>
                </c:pt>
                <c:pt idx="24">
                  <c:v>10623</c:v>
                </c:pt>
                <c:pt idx="25">
                  <c:v>10890</c:v>
                </c:pt>
                <c:pt idx="26">
                  <c:v>11295</c:v>
                </c:pt>
                <c:pt idx="27">
                  <c:v>11412.5</c:v>
                </c:pt>
                <c:pt idx="28">
                  <c:v>11496.5</c:v>
                </c:pt>
                <c:pt idx="29">
                  <c:v>11807</c:v>
                </c:pt>
                <c:pt idx="30">
                  <c:v>11927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2">
                  <c:v>8.3400000003166497E-3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E3-468B-8137-25415CADF5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9">
                    <c:v>5.0000000000000001E-3</c:v>
                  </c:pt>
                  <c:pt idx="20">
                    <c:v>1.5499999999999999E-3</c:v>
                  </c:pt>
                  <c:pt idx="21">
                    <c:v>6.0800000000000003E-3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9">
                    <c:v>5.0000000000000001E-3</c:v>
                  </c:pt>
                  <c:pt idx="20">
                    <c:v>1.5499999999999999E-3</c:v>
                  </c:pt>
                  <c:pt idx="21">
                    <c:v>6.0800000000000003E-3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769</c:v>
                </c:pt>
                <c:pt idx="3">
                  <c:v>1425.5</c:v>
                </c:pt>
                <c:pt idx="4">
                  <c:v>1534</c:v>
                </c:pt>
                <c:pt idx="5">
                  <c:v>4321</c:v>
                </c:pt>
                <c:pt idx="6">
                  <c:v>4393.5</c:v>
                </c:pt>
                <c:pt idx="7">
                  <c:v>4429.5</c:v>
                </c:pt>
                <c:pt idx="8">
                  <c:v>4450</c:v>
                </c:pt>
                <c:pt idx="9">
                  <c:v>4456.5</c:v>
                </c:pt>
                <c:pt idx="10">
                  <c:v>4460.5</c:v>
                </c:pt>
                <c:pt idx="11">
                  <c:v>4468</c:v>
                </c:pt>
                <c:pt idx="12">
                  <c:v>4468</c:v>
                </c:pt>
                <c:pt idx="13">
                  <c:v>4468</c:v>
                </c:pt>
                <c:pt idx="14">
                  <c:v>4547</c:v>
                </c:pt>
                <c:pt idx="15">
                  <c:v>4556</c:v>
                </c:pt>
                <c:pt idx="16">
                  <c:v>4606</c:v>
                </c:pt>
                <c:pt idx="17">
                  <c:v>8397</c:v>
                </c:pt>
                <c:pt idx="18">
                  <c:v>8397</c:v>
                </c:pt>
                <c:pt idx="19">
                  <c:v>8624</c:v>
                </c:pt>
                <c:pt idx="20">
                  <c:v>9594.5</c:v>
                </c:pt>
                <c:pt idx="21">
                  <c:v>9595</c:v>
                </c:pt>
                <c:pt idx="22">
                  <c:v>9688</c:v>
                </c:pt>
                <c:pt idx="23">
                  <c:v>10217</c:v>
                </c:pt>
                <c:pt idx="24">
                  <c:v>10623</c:v>
                </c:pt>
                <c:pt idx="25">
                  <c:v>10890</c:v>
                </c:pt>
                <c:pt idx="26">
                  <c:v>11295</c:v>
                </c:pt>
                <c:pt idx="27">
                  <c:v>11412.5</c:v>
                </c:pt>
                <c:pt idx="28">
                  <c:v>11496.5</c:v>
                </c:pt>
                <c:pt idx="29">
                  <c:v>11807</c:v>
                </c:pt>
                <c:pt idx="30">
                  <c:v>11927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0">
                  <c:v>8.4900000001653098E-3</c:v>
                </c:pt>
                <c:pt idx="21">
                  <c:v>1.2740000005578622E-2</c:v>
                </c:pt>
                <c:pt idx="23">
                  <c:v>5.5599999977857806E-3</c:v>
                </c:pt>
                <c:pt idx="24">
                  <c:v>1.322000000072876E-2</c:v>
                </c:pt>
                <c:pt idx="25">
                  <c:v>1.0999999998603016E-2</c:v>
                </c:pt>
                <c:pt idx="26">
                  <c:v>1.3980000003357418E-2</c:v>
                </c:pt>
                <c:pt idx="27">
                  <c:v>1.2880000002041925E-2</c:v>
                </c:pt>
                <c:pt idx="28">
                  <c:v>1.4459999998507556E-2</c:v>
                </c:pt>
                <c:pt idx="29">
                  <c:v>1.395000000775326E-2</c:v>
                </c:pt>
                <c:pt idx="30">
                  <c:v>1.6159999999217689E-2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E3-468B-8137-25415CADF5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9">
                    <c:v>5.0000000000000001E-3</c:v>
                  </c:pt>
                  <c:pt idx="20">
                    <c:v>1.5499999999999999E-3</c:v>
                  </c:pt>
                  <c:pt idx="21">
                    <c:v>6.0800000000000003E-3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9">
                    <c:v>5.0000000000000001E-3</c:v>
                  </c:pt>
                  <c:pt idx="20">
                    <c:v>1.5499999999999999E-3</c:v>
                  </c:pt>
                  <c:pt idx="21">
                    <c:v>6.0800000000000003E-3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769</c:v>
                </c:pt>
                <c:pt idx="3">
                  <c:v>1425.5</c:v>
                </c:pt>
                <c:pt idx="4">
                  <c:v>1534</c:v>
                </c:pt>
                <c:pt idx="5">
                  <c:v>4321</c:v>
                </c:pt>
                <c:pt idx="6">
                  <c:v>4393.5</c:v>
                </c:pt>
                <c:pt idx="7">
                  <c:v>4429.5</c:v>
                </c:pt>
                <c:pt idx="8">
                  <c:v>4450</c:v>
                </c:pt>
                <c:pt idx="9">
                  <c:v>4456.5</c:v>
                </c:pt>
                <c:pt idx="10">
                  <c:v>4460.5</c:v>
                </c:pt>
                <c:pt idx="11">
                  <c:v>4468</c:v>
                </c:pt>
                <c:pt idx="12">
                  <c:v>4468</c:v>
                </c:pt>
                <c:pt idx="13">
                  <c:v>4468</c:v>
                </c:pt>
                <c:pt idx="14">
                  <c:v>4547</c:v>
                </c:pt>
                <c:pt idx="15">
                  <c:v>4556</c:v>
                </c:pt>
                <c:pt idx="16">
                  <c:v>4606</c:v>
                </c:pt>
                <c:pt idx="17">
                  <c:v>8397</c:v>
                </c:pt>
                <c:pt idx="18">
                  <c:v>8397</c:v>
                </c:pt>
                <c:pt idx="19">
                  <c:v>8624</c:v>
                </c:pt>
                <c:pt idx="20">
                  <c:v>9594.5</c:v>
                </c:pt>
                <c:pt idx="21">
                  <c:v>9595</c:v>
                </c:pt>
                <c:pt idx="22">
                  <c:v>9688</c:v>
                </c:pt>
                <c:pt idx="23">
                  <c:v>10217</c:v>
                </c:pt>
                <c:pt idx="24">
                  <c:v>10623</c:v>
                </c:pt>
                <c:pt idx="25">
                  <c:v>10890</c:v>
                </c:pt>
                <c:pt idx="26">
                  <c:v>11295</c:v>
                </c:pt>
                <c:pt idx="27">
                  <c:v>11412.5</c:v>
                </c:pt>
                <c:pt idx="28">
                  <c:v>11496.5</c:v>
                </c:pt>
                <c:pt idx="29">
                  <c:v>11807</c:v>
                </c:pt>
                <c:pt idx="30">
                  <c:v>11927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E3-468B-8137-25415CADF5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9">
                    <c:v>5.0000000000000001E-3</c:v>
                  </c:pt>
                  <c:pt idx="20">
                    <c:v>1.5499999999999999E-3</c:v>
                  </c:pt>
                  <c:pt idx="21">
                    <c:v>6.0800000000000003E-3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9">
                    <c:v>5.0000000000000001E-3</c:v>
                  </c:pt>
                  <c:pt idx="20">
                    <c:v>1.5499999999999999E-3</c:v>
                  </c:pt>
                  <c:pt idx="21">
                    <c:v>6.0800000000000003E-3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769</c:v>
                </c:pt>
                <c:pt idx="3">
                  <c:v>1425.5</c:v>
                </c:pt>
                <c:pt idx="4">
                  <c:v>1534</c:v>
                </c:pt>
                <c:pt idx="5">
                  <c:v>4321</c:v>
                </c:pt>
                <c:pt idx="6">
                  <c:v>4393.5</c:v>
                </c:pt>
                <c:pt idx="7">
                  <c:v>4429.5</c:v>
                </c:pt>
                <c:pt idx="8">
                  <c:v>4450</c:v>
                </c:pt>
                <c:pt idx="9">
                  <c:v>4456.5</c:v>
                </c:pt>
                <c:pt idx="10">
                  <c:v>4460.5</c:v>
                </c:pt>
                <c:pt idx="11">
                  <c:v>4468</c:v>
                </c:pt>
                <c:pt idx="12">
                  <c:v>4468</c:v>
                </c:pt>
                <c:pt idx="13">
                  <c:v>4468</c:v>
                </c:pt>
                <c:pt idx="14">
                  <c:v>4547</c:v>
                </c:pt>
                <c:pt idx="15">
                  <c:v>4556</c:v>
                </c:pt>
                <c:pt idx="16">
                  <c:v>4606</c:v>
                </c:pt>
                <c:pt idx="17">
                  <c:v>8397</c:v>
                </c:pt>
                <c:pt idx="18">
                  <c:v>8397</c:v>
                </c:pt>
                <c:pt idx="19">
                  <c:v>8624</c:v>
                </c:pt>
                <c:pt idx="20">
                  <c:v>9594.5</c:v>
                </c:pt>
                <c:pt idx="21">
                  <c:v>9595</c:v>
                </c:pt>
                <c:pt idx="22">
                  <c:v>9688</c:v>
                </c:pt>
                <c:pt idx="23">
                  <c:v>10217</c:v>
                </c:pt>
                <c:pt idx="24">
                  <c:v>10623</c:v>
                </c:pt>
                <c:pt idx="25">
                  <c:v>10890</c:v>
                </c:pt>
                <c:pt idx="26">
                  <c:v>11295</c:v>
                </c:pt>
                <c:pt idx="27">
                  <c:v>11412.5</c:v>
                </c:pt>
                <c:pt idx="28">
                  <c:v>11496.5</c:v>
                </c:pt>
                <c:pt idx="29">
                  <c:v>11807</c:v>
                </c:pt>
                <c:pt idx="30">
                  <c:v>11927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E3-468B-8137-25415CADF5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9">
                    <c:v>5.0000000000000001E-3</c:v>
                  </c:pt>
                  <c:pt idx="20">
                    <c:v>1.5499999999999999E-3</c:v>
                  </c:pt>
                  <c:pt idx="21">
                    <c:v>6.0800000000000003E-3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9">
                    <c:v>5.0000000000000001E-3</c:v>
                  </c:pt>
                  <c:pt idx="20">
                    <c:v>1.5499999999999999E-3</c:v>
                  </c:pt>
                  <c:pt idx="21">
                    <c:v>6.0800000000000003E-3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2.0000000000000001E-4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769</c:v>
                </c:pt>
                <c:pt idx="3">
                  <c:v>1425.5</c:v>
                </c:pt>
                <c:pt idx="4">
                  <c:v>1534</c:v>
                </c:pt>
                <c:pt idx="5">
                  <c:v>4321</c:v>
                </c:pt>
                <c:pt idx="6">
                  <c:v>4393.5</c:v>
                </c:pt>
                <c:pt idx="7">
                  <c:v>4429.5</c:v>
                </c:pt>
                <c:pt idx="8">
                  <c:v>4450</c:v>
                </c:pt>
                <c:pt idx="9">
                  <c:v>4456.5</c:v>
                </c:pt>
                <c:pt idx="10">
                  <c:v>4460.5</c:v>
                </c:pt>
                <c:pt idx="11">
                  <c:v>4468</c:v>
                </c:pt>
                <c:pt idx="12">
                  <c:v>4468</c:v>
                </c:pt>
                <c:pt idx="13">
                  <c:v>4468</c:v>
                </c:pt>
                <c:pt idx="14">
                  <c:v>4547</c:v>
                </c:pt>
                <c:pt idx="15">
                  <c:v>4556</c:v>
                </c:pt>
                <c:pt idx="16">
                  <c:v>4606</c:v>
                </c:pt>
                <c:pt idx="17">
                  <c:v>8397</c:v>
                </c:pt>
                <c:pt idx="18">
                  <c:v>8397</c:v>
                </c:pt>
                <c:pt idx="19">
                  <c:v>8624</c:v>
                </c:pt>
                <c:pt idx="20">
                  <c:v>9594.5</c:v>
                </c:pt>
                <c:pt idx="21">
                  <c:v>9595</c:v>
                </c:pt>
                <c:pt idx="22">
                  <c:v>9688</c:v>
                </c:pt>
                <c:pt idx="23">
                  <c:v>10217</c:v>
                </c:pt>
                <c:pt idx="24">
                  <c:v>10623</c:v>
                </c:pt>
                <c:pt idx="25">
                  <c:v>10890</c:v>
                </c:pt>
                <c:pt idx="26">
                  <c:v>11295</c:v>
                </c:pt>
                <c:pt idx="27">
                  <c:v>11412.5</c:v>
                </c:pt>
                <c:pt idx="28">
                  <c:v>11496.5</c:v>
                </c:pt>
                <c:pt idx="29">
                  <c:v>11807</c:v>
                </c:pt>
                <c:pt idx="30">
                  <c:v>11927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E3-468B-8137-25415CADF5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769</c:v>
                </c:pt>
                <c:pt idx="3">
                  <c:v>1425.5</c:v>
                </c:pt>
                <c:pt idx="4">
                  <c:v>1534</c:v>
                </c:pt>
                <c:pt idx="5">
                  <c:v>4321</c:v>
                </c:pt>
                <c:pt idx="6">
                  <c:v>4393.5</c:v>
                </c:pt>
                <c:pt idx="7">
                  <c:v>4429.5</c:v>
                </c:pt>
                <c:pt idx="8">
                  <c:v>4450</c:v>
                </c:pt>
                <c:pt idx="9">
                  <c:v>4456.5</c:v>
                </c:pt>
                <c:pt idx="10">
                  <c:v>4460.5</c:v>
                </c:pt>
                <c:pt idx="11">
                  <c:v>4468</c:v>
                </c:pt>
                <c:pt idx="12">
                  <c:v>4468</c:v>
                </c:pt>
                <c:pt idx="13">
                  <c:v>4468</c:v>
                </c:pt>
                <c:pt idx="14">
                  <c:v>4547</c:v>
                </c:pt>
                <c:pt idx="15">
                  <c:v>4556</c:v>
                </c:pt>
                <c:pt idx="16">
                  <c:v>4606</c:v>
                </c:pt>
                <c:pt idx="17">
                  <c:v>8397</c:v>
                </c:pt>
                <c:pt idx="18">
                  <c:v>8397</c:v>
                </c:pt>
                <c:pt idx="19">
                  <c:v>8624</c:v>
                </c:pt>
                <c:pt idx="20">
                  <c:v>9594.5</c:v>
                </c:pt>
                <c:pt idx="21">
                  <c:v>9595</c:v>
                </c:pt>
                <c:pt idx="22">
                  <c:v>9688</c:v>
                </c:pt>
                <c:pt idx="23">
                  <c:v>10217</c:v>
                </c:pt>
                <c:pt idx="24">
                  <c:v>10623</c:v>
                </c:pt>
                <c:pt idx="25">
                  <c:v>10890</c:v>
                </c:pt>
                <c:pt idx="26">
                  <c:v>11295</c:v>
                </c:pt>
                <c:pt idx="27">
                  <c:v>11412.5</c:v>
                </c:pt>
                <c:pt idx="28">
                  <c:v>11496.5</c:v>
                </c:pt>
                <c:pt idx="29">
                  <c:v>11807</c:v>
                </c:pt>
                <c:pt idx="30">
                  <c:v>11927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-6.7732687903818969E-3</c:v>
                </c:pt>
                <c:pt idx="1">
                  <c:v>-6.7732687903818969E-3</c:v>
                </c:pt>
                <c:pt idx="2">
                  <c:v>-5.4410809758034459E-3</c:v>
                </c:pt>
                <c:pt idx="3">
                  <c:v>-4.3037840963876424E-3</c:v>
                </c:pt>
                <c:pt idx="4">
                  <c:v>-4.1158226166974447E-3</c:v>
                </c:pt>
                <c:pt idx="5">
                  <c:v>7.1227548373186799E-4</c:v>
                </c:pt>
                <c:pt idx="6">
                  <c:v>8.3787186417001898E-4</c:v>
                </c:pt>
                <c:pt idx="7">
                  <c:v>9.0023696342206565E-4</c:v>
                </c:pt>
                <c:pt idx="8">
                  <c:v>9.3575042271837067E-4</c:v>
                </c:pt>
                <c:pt idx="9">
                  <c:v>9.4701078786110088E-4</c:v>
                </c:pt>
                <c:pt idx="10">
                  <c:v>9.539402433335507E-4</c:v>
                </c:pt>
                <c:pt idx="11">
                  <c:v>9.6693297234439358E-4</c:v>
                </c:pt>
                <c:pt idx="12">
                  <c:v>9.6693297234439358E-4</c:v>
                </c:pt>
                <c:pt idx="13">
                  <c:v>9.6693297234439358E-4</c:v>
                </c:pt>
                <c:pt idx="14">
                  <c:v>1.1037897179252748E-3</c:v>
                </c:pt>
                <c:pt idx="15">
                  <c:v>1.1193809927382862E-3</c:v>
                </c:pt>
                <c:pt idx="16">
                  <c:v>1.2059991861439077E-3</c:v>
                </c:pt>
                <c:pt idx="17">
                  <c:v>7.7733906101580914E-3</c:v>
                </c:pt>
                <c:pt idx="18">
                  <c:v>7.7733906101580914E-3</c:v>
                </c:pt>
                <c:pt idx="19">
                  <c:v>8.1666372082196091E-3</c:v>
                </c:pt>
                <c:pt idx="20">
                  <c:v>9.8478963422227138E-3</c:v>
                </c:pt>
                <c:pt idx="21">
                  <c:v>9.8487625241567671E-3</c:v>
                </c:pt>
                <c:pt idx="22">
                  <c:v>1.0009872363891222E-2</c:v>
                </c:pt>
                <c:pt idx="23">
                  <c:v>1.0926292850122695E-2</c:v>
                </c:pt>
                <c:pt idx="24">
                  <c:v>1.1629632580576334E-2</c:v>
                </c:pt>
                <c:pt idx="25">
                  <c:v>1.2092173733362351E-2</c:v>
                </c:pt>
                <c:pt idx="26">
                  <c:v>1.279378109994788E-2</c:v>
                </c:pt>
                <c:pt idx="27">
                  <c:v>1.299733385445109E-2</c:v>
                </c:pt>
                <c:pt idx="28">
                  <c:v>1.3142852419372533E-2</c:v>
                </c:pt>
                <c:pt idx="29">
                  <c:v>1.368075140042144E-2</c:v>
                </c:pt>
                <c:pt idx="30">
                  <c:v>1.388863506459493E-2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E3-468B-8137-25415CADF5B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769</c:v>
                </c:pt>
                <c:pt idx="3">
                  <c:v>1425.5</c:v>
                </c:pt>
                <c:pt idx="4">
                  <c:v>1534</c:v>
                </c:pt>
                <c:pt idx="5">
                  <c:v>4321</c:v>
                </c:pt>
                <c:pt idx="6">
                  <c:v>4393.5</c:v>
                </c:pt>
                <c:pt idx="7">
                  <c:v>4429.5</c:v>
                </c:pt>
                <c:pt idx="8">
                  <c:v>4450</c:v>
                </c:pt>
                <c:pt idx="9">
                  <c:v>4456.5</c:v>
                </c:pt>
                <c:pt idx="10">
                  <c:v>4460.5</c:v>
                </c:pt>
                <c:pt idx="11">
                  <c:v>4468</c:v>
                </c:pt>
                <c:pt idx="12">
                  <c:v>4468</c:v>
                </c:pt>
                <c:pt idx="13">
                  <c:v>4468</c:v>
                </c:pt>
                <c:pt idx="14">
                  <c:v>4547</c:v>
                </c:pt>
                <c:pt idx="15">
                  <c:v>4556</c:v>
                </c:pt>
                <c:pt idx="16">
                  <c:v>4606</c:v>
                </c:pt>
                <c:pt idx="17">
                  <c:v>8397</c:v>
                </c:pt>
                <c:pt idx="18">
                  <c:v>8397</c:v>
                </c:pt>
                <c:pt idx="19">
                  <c:v>8624</c:v>
                </c:pt>
                <c:pt idx="20">
                  <c:v>9594.5</c:v>
                </c:pt>
                <c:pt idx="21">
                  <c:v>9595</c:v>
                </c:pt>
                <c:pt idx="22">
                  <c:v>9688</c:v>
                </c:pt>
                <c:pt idx="23">
                  <c:v>10217</c:v>
                </c:pt>
                <c:pt idx="24">
                  <c:v>10623</c:v>
                </c:pt>
                <c:pt idx="25">
                  <c:v>10890</c:v>
                </c:pt>
                <c:pt idx="26">
                  <c:v>11295</c:v>
                </c:pt>
                <c:pt idx="27">
                  <c:v>11412.5</c:v>
                </c:pt>
                <c:pt idx="28">
                  <c:v>11496.5</c:v>
                </c:pt>
                <c:pt idx="29">
                  <c:v>11807</c:v>
                </c:pt>
                <c:pt idx="30">
                  <c:v>11927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4">
                  <c:v>-5.0879999998869607E-2</c:v>
                </c:pt>
                <c:pt idx="5">
                  <c:v>3.4280000007129274E-2</c:v>
                </c:pt>
                <c:pt idx="6">
                  <c:v>4.7579999998561107E-2</c:v>
                </c:pt>
                <c:pt idx="7">
                  <c:v>-2.9399999984889291E-3</c:v>
                </c:pt>
                <c:pt idx="8">
                  <c:v>2.1999999997206032E-2</c:v>
                </c:pt>
                <c:pt idx="9">
                  <c:v>-3.0580000006011687E-2</c:v>
                </c:pt>
                <c:pt idx="10">
                  <c:v>-2.9860000002372544E-2</c:v>
                </c:pt>
                <c:pt idx="11">
                  <c:v>-1.276000000507338E-2</c:v>
                </c:pt>
                <c:pt idx="12">
                  <c:v>3.4239999993587844E-2</c:v>
                </c:pt>
                <c:pt idx="13">
                  <c:v>5.8239999998477288E-2</c:v>
                </c:pt>
                <c:pt idx="14">
                  <c:v>1.0960000006889459E-2</c:v>
                </c:pt>
                <c:pt idx="15">
                  <c:v>-4.9920000004931353E-2</c:v>
                </c:pt>
                <c:pt idx="16">
                  <c:v>-1.0920000000623986E-2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E3-468B-8137-25415CAD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295416"/>
        <c:axId val="1"/>
      </c:scatterChart>
      <c:valAx>
        <c:axId val="746295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672333848531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295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83462132921174"/>
          <c:y val="0.92000129214617399"/>
          <c:w val="0.7434312210200926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247650</xdr:colOff>
      <xdr:row>18</xdr:row>
      <xdr:rowOff>142874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84E6A7-A4BF-4F0F-1F21-1F83285A0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3" TargetMode="External"/><Relationship Id="rId13" Type="http://schemas.openxmlformats.org/officeDocument/2006/relationships/hyperlink" Target="http://www.konkoly.hu/cgi-bin/IBVS?33" TargetMode="External"/><Relationship Id="rId18" Type="http://schemas.openxmlformats.org/officeDocument/2006/relationships/hyperlink" Target="http://www.bav-astro.de/sfs/BAVM_link.php?BAVMnr=152" TargetMode="External"/><Relationship Id="rId3" Type="http://schemas.openxmlformats.org/officeDocument/2006/relationships/hyperlink" Target="http://www.konkoly.hu/cgi-bin/IBVS?33" TargetMode="External"/><Relationship Id="rId21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konkoly.hu/cgi-bin/IBVS?33" TargetMode="External"/><Relationship Id="rId12" Type="http://schemas.openxmlformats.org/officeDocument/2006/relationships/hyperlink" Target="http://www.konkoly.hu/cgi-bin/IBVS?33" TargetMode="External"/><Relationship Id="rId17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33" TargetMode="External"/><Relationship Id="rId16" Type="http://schemas.openxmlformats.org/officeDocument/2006/relationships/hyperlink" Target="http://www.konkoly.hu/cgi-bin/IBVS?6114" TargetMode="External"/><Relationship Id="rId20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33" TargetMode="External"/><Relationship Id="rId6" Type="http://schemas.openxmlformats.org/officeDocument/2006/relationships/hyperlink" Target="http://www.konkoly.hu/cgi-bin/IBVS?33" TargetMode="External"/><Relationship Id="rId11" Type="http://schemas.openxmlformats.org/officeDocument/2006/relationships/hyperlink" Target="http://www.konkoly.hu/cgi-bin/IBVS?33" TargetMode="External"/><Relationship Id="rId2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33" TargetMode="External"/><Relationship Id="rId15" Type="http://schemas.openxmlformats.org/officeDocument/2006/relationships/hyperlink" Target="http://www.konkoly.hu/cgi-bin/IBVS?33" TargetMode="External"/><Relationship Id="rId23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konkoly.hu/cgi-bin/IBVS?33" TargetMode="External"/><Relationship Id="rId19" Type="http://schemas.openxmlformats.org/officeDocument/2006/relationships/hyperlink" Target="http://www.bav-astro.de/sfs/BAVM_link.php?BAVMnr=174" TargetMode="External"/><Relationship Id="rId4" Type="http://schemas.openxmlformats.org/officeDocument/2006/relationships/hyperlink" Target="http://www.konkoly.hu/cgi-bin/IBVS?33" TargetMode="External"/><Relationship Id="rId9" Type="http://schemas.openxmlformats.org/officeDocument/2006/relationships/hyperlink" Target="http://www.konkoly.hu/cgi-bin/IBVS?33" TargetMode="External"/><Relationship Id="rId14" Type="http://schemas.openxmlformats.org/officeDocument/2006/relationships/hyperlink" Target="http://www.konkoly.hu/cgi-bin/IBVS?33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3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6" customFormat="1" ht="20.25" x14ac:dyDescent="0.2">
      <c r="A1" s="64" t="s">
        <v>49</v>
      </c>
    </row>
    <row r="2" spans="1:6" s="36" customFormat="1" ht="12.95" customHeight="1" x14ac:dyDescent="0.2">
      <c r="A2" s="36" t="s">
        <v>25</v>
      </c>
      <c r="B2" s="37" t="s">
        <v>34</v>
      </c>
    </row>
    <row r="3" spans="1:6" s="36" customFormat="1" ht="12.95" customHeight="1" x14ac:dyDescent="0.2"/>
    <row r="4" spans="1:6" s="36" customFormat="1" ht="12.95" customHeight="1" thickTop="1" thickBot="1" x14ac:dyDescent="0.25">
      <c r="A4" s="38" t="s">
        <v>1</v>
      </c>
      <c r="C4" s="39">
        <v>24822.18</v>
      </c>
      <c r="D4" s="40">
        <v>2.7753199999999998</v>
      </c>
    </row>
    <row r="5" spans="1:6" s="36" customFormat="1" ht="12.95" customHeight="1" thickTop="1" x14ac:dyDescent="0.2">
      <c r="A5" s="41" t="s">
        <v>37</v>
      </c>
      <c r="C5" s="42">
        <v>-9.5</v>
      </c>
      <c r="D5" s="36" t="s">
        <v>38</v>
      </c>
    </row>
    <row r="6" spans="1:6" s="36" customFormat="1" ht="12.95" customHeight="1" x14ac:dyDescent="0.2">
      <c r="A6" s="38" t="s">
        <v>2</v>
      </c>
    </row>
    <row r="7" spans="1:6" s="36" customFormat="1" ht="12.95" customHeight="1" x14ac:dyDescent="0.2">
      <c r="A7" s="36" t="s">
        <v>3</v>
      </c>
      <c r="C7" s="36">
        <f>+C4</f>
        <v>24822.18</v>
      </c>
    </row>
    <row r="8" spans="1:6" s="36" customFormat="1" ht="12.95" customHeight="1" x14ac:dyDescent="0.2">
      <c r="A8" s="36" t="s">
        <v>4</v>
      </c>
      <c r="C8" s="36">
        <f>+D4</f>
        <v>2.7753199999999998</v>
      </c>
    </row>
    <row r="9" spans="1:6" s="36" customFormat="1" ht="12.95" customHeight="1" x14ac:dyDescent="0.2">
      <c r="A9" s="43" t="s">
        <v>44</v>
      </c>
      <c r="B9" s="44">
        <v>21</v>
      </c>
      <c r="C9" s="45" t="str">
        <f>"F"&amp;B9</f>
        <v>F21</v>
      </c>
      <c r="D9" s="46" t="str">
        <f>"G"&amp;B9</f>
        <v>G21</v>
      </c>
    </row>
    <row r="10" spans="1:6" s="36" customFormat="1" ht="12.95" customHeight="1" thickBot="1" x14ac:dyDescent="0.25">
      <c r="C10" s="47" t="s">
        <v>21</v>
      </c>
      <c r="D10" s="47" t="s">
        <v>22</v>
      </c>
    </row>
    <row r="11" spans="1:6" s="36" customFormat="1" ht="12.95" customHeight="1" x14ac:dyDescent="0.2">
      <c r="A11" s="36" t="s">
        <v>17</v>
      </c>
      <c r="C11" s="46">
        <f ca="1">INTERCEPT(INDIRECT($D$9):G991,INDIRECT($C$9):F991)</f>
        <v>-6.7732687903818969E-3</v>
      </c>
      <c r="D11" s="48"/>
    </row>
    <row r="12" spans="1:6" s="36" customFormat="1" ht="12.95" customHeight="1" x14ac:dyDescent="0.2">
      <c r="A12" s="36" t="s">
        <v>18</v>
      </c>
      <c r="C12" s="46">
        <f ca="1">SLOPE(INDIRECT($D$9):G991,INDIRECT($C$9):F991)</f>
        <v>1.7323638681124196E-6</v>
      </c>
      <c r="D12" s="48"/>
    </row>
    <row r="13" spans="1:6" s="36" customFormat="1" ht="12.95" customHeight="1" x14ac:dyDescent="0.2">
      <c r="A13" s="36" t="s">
        <v>20</v>
      </c>
      <c r="C13" s="48" t="s">
        <v>15</v>
      </c>
    </row>
    <row r="14" spans="1:6" s="36" customFormat="1" ht="12.95" customHeight="1" x14ac:dyDescent="0.2"/>
    <row r="15" spans="1:6" s="36" customFormat="1" ht="12.95" customHeight="1" x14ac:dyDescent="0.2">
      <c r="A15" s="49" t="s">
        <v>19</v>
      </c>
      <c r="C15" s="50">
        <f ca="1">(C7+C11)+(C8+C12)*INT(MAX(F21:F3532))</f>
        <v>57923.435528635062</v>
      </c>
      <c r="E15" s="51" t="s">
        <v>42</v>
      </c>
      <c r="F15" s="42">
        <v>1</v>
      </c>
    </row>
    <row r="16" spans="1:6" s="36" customFormat="1" ht="12.95" customHeight="1" x14ac:dyDescent="0.2">
      <c r="A16" s="38" t="s">
        <v>5</v>
      </c>
      <c r="C16" s="52">
        <f ca="1">+C8+C12</f>
        <v>2.7753217323638677</v>
      </c>
      <c r="E16" s="51" t="s">
        <v>39</v>
      </c>
      <c r="F16" s="53">
        <f ca="1">NOW()+15018.5+$C$5/24</f>
        <v>60375.794448032408</v>
      </c>
    </row>
    <row r="17" spans="1:21" s="36" customFormat="1" ht="12.95" customHeight="1" thickBot="1" x14ac:dyDescent="0.25">
      <c r="A17" s="51" t="s">
        <v>36</v>
      </c>
      <c r="C17" s="36">
        <f>COUNT(C21:C2190)</f>
        <v>31</v>
      </c>
      <c r="E17" s="51" t="s">
        <v>43</v>
      </c>
      <c r="F17" s="53">
        <f ca="1">ROUND(2*(F16-$C$7)/$C$8,0)/2+F15</f>
        <v>12811.5</v>
      </c>
    </row>
    <row r="18" spans="1:21" s="36" customFormat="1" ht="12.95" customHeight="1" thickTop="1" thickBot="1" x14ac:dyDescent="0.25">
      <c r="A18" s="38" t="s">
        <v>6</v>
      </c>
      <c r="C18" s="39">
        <f ca="1">+C15</f>
        <v>57923.435528635062</v>
      </c>
      <c r="D18" s="40">
        <f ca="1">+C16</f>
        <v>2.7753217323638677</v>
      </c>
      <c r="E18" s="51" t="s">
        <v>40</v>
      </c>
      <c r="F18" s="46">
        <f ca="1">ROUND(2*(F16-$C$15)/$C$16,0)/2+F15</f>
        <v>884.5</v>
      </c>
    </row>
    <row r="19" spans="1:21" s="36" customFormat="1" ht="12.95" customHeight="1" thickTop="1" x14ac:dyDescent="0.2">
      <c r="E19" s="51" t="s">
        <v>41</v>
      </c>
      <c r="F19" s="54">
        <f ca="1">+$C$15+$C$16*F18-15018.5-$C$5/24</f>
        <v>45360.103434244236</v>
      </c>
    </row>
    <row r="20" spans="1:21" s="36" customFormat="1" ht="12.95" customHeight="1" thickBot="1" x14ac:dyDescent="0.25">
      <c r="A20" s="47" t="s">
        <v>7</v>
      </c>
      <c r="B20" s="47" t="s">
        <v>8</v>
      </c>
      <c r="C20" s="47" t="s">
        <v>9</v>
      </c>
      <c r="D20" s="47" t="s">
        <v>14</v>
      </c>
      <c r="E20" s="47" t="s">
        <v>10</v>
      </c>
      <c r="F20" s="47" t="s">
        <v>11</v>
      </c>
      <c r="G20" s="47" t="s">
        <v>12</v>
      </c>
      <c r="H20" s="55" t="s">
        <v>60</v>
      </c>
      <c r="I20" s="55" t="s">
        <v>47</v>
      </c>
      <c r="J20" s="55" t="s">
        <v>57</v>
      </c>
      <c r="K20" s="55" t="s">
        <v>55</v>
      </c>
      <c r="L20" s="55" t="s">
        <v>26</v>
      </c>
      <c r="M20" s="55" t="s">
        <v>27</v>
      </c>
      <c r="N20" s="55" t="s">
        <v>28</v>
      </c>
      <c r="O20" s="55" t="s">
        <v>24</v>
      </c>
      <c r="P20" s="56" t="s">
        <v>23</v>
      </c>
      <c r="Q20" s="47" t="s">
        <v>16</v>
      </c>
      <c r="U20" s="57" t="s">
        <v>175</v>
      </c>
    </row>
    <row r="21" spans="1:21" s="36" customFormat="1" ht="12.95" customHeight="1" x14ac:dyDescent="0.2">
      <c r="A21" s="36" t="s">
        <v>13</v>
      </c>
      <c r="C21" s="58">
        <v>24822.18</v>
      </c>
      <c r="D21" s="58" t="s">
        <v>15</v>
      </c>
      <c r="E21" s="36">
        <f t="shared" ref="E21:E49" si="0">+(C21-C$7)/C$8</f>
        <v>0</v>
      </c>
      <c r="F21" s="36">
        <f t="shared" ref="F21:F51" si="1">ROUND(2*E21,0)/2</f>
        <v>0</v>
      </c>
      <c r="G21" s="36">
        <f>+C21-(C$7+F21*C$8)</f>
        <v>0</v>
      </c>
      <c r="H21" s="36">
        <f>+G21</f>
        <v>0</v>
      </c>
      <c r="O21" s="36">
        <f t="shared" ref="O21:O49" ca="1" si="2">+C$11+C$12*$F21</f>
        <v>-6.7732687903818969E-3</v>
      </c>
      <c r="Q21" s="59">
        <f t="shared" ref="Q21:Q49" si="3">+C21-15018.5</f>
        <v>9803.68</v>
      </c>
    </row>
    <row r="22" spans="1:21" s="36" customFormat="1" ht="12.95" customHeight="1" x14ac:dyDescent="0.2">
      <c r="A22" s="60" t="s">
        <v>69</v>
      </c>
      <c r="B22" s="61" t="s">
        <v>46</v>
      </c>
      <c r="C22" s="62">
        <v>24822.182000000001</v>
      </c>
      <c r="D22" s="63"/>
      <c r="E22" s="36">
        <f t="shared" si="0"/>
        <v>7.2063762031313646E-4</v>
      </c>
      <c r="F22" s="36">
        <f t="shared" si="1"/>
        <v>0</v>
      </c>
      <c r="G22" s="36">
        <f>+C22-(C$7+F22*C$8)</f>
        <v>2.0000000004074536E-3</v>
      </c>
      <c r="H22" s="36">
        <f>+G22</f>
        <v>2.0000000004074536E-3</v>
      </c>
      <c r="O22" s="36">
        <f t="shared" ca="1" si="2"/>
        <v>-6.7732687903818969E-3</v>
      </c>
      <c r="Q22" s="59">
        <f t="shared" si="3"/>
        <v>9803.6820000000007</v>
      </c>
    </row>
    <row r="23" spans="1:21" s="36" customFormat="1" ht="12.95" customHeight="1" x14ac:dyDescent="0.2">
      <c r="A23" s="60" t="s">
        <v>74</v>
      </c>
      <c r="B23" s="61" t="s">
        <v>46</v>
      </c>
      <c r="C23" s="62">
        <v>26956.385999999999</v>
      </c>
      <c r="D23" s="63"/>
      <c r="E23" s="36">
        <f t="shared" si="0"/>
        <v>768.99456639234336</v>
      </c>
      <c r="F23" s="36">
        <f t="shared" si="1"/>
        <v>769</v>
      </c>
      <c r="G23" s="36">
        <f>+C23-(C$7+F23*C$8)</f>
        <v>-1.5080000001034932E-2</v>
      </c>
      <c r="H23" s="36">
        <f>+U23</f>
        <v>0</v>
      </c>
      <c r="O23" s="36">
        <f t="shared" ca="1" si="2"/>
        <v>-5.4410809758034459E-3</v>
      </c>
      <c r="Q23" s="59">
        <f t="shared" si="3"/>
        <v>11937.885999999999</v>
      </c>
    </row>
    <row r="24" spans="1:21" s="36" customFormat="1" ht="12.95" customHeight="1" x14ac:dyDescent="0.2">
      <c r="A24" s="60" t="s">
        <v>74</v>
      </c>
      <c r="B24" s="61" t="s">
        <v>52</v>
      </c>
      <c r="C24" s="62">
        <v>28778.386999999999</v>
      </c>
      <c r="D24" s="63"/>
      <c r="E24" s="36">
        <f t="shared" si="0"/>
        <v>1425.4957986826739</v>
      </c>
      <c r="F24" s="36">
        <f t="shared" si="1"/>
        <v>1425.5</v>
      </c>
      <c r="G24" s="36">
        <f>+C24-(C$7+F24*C$8)</f>
        <v>-1.1660000000119908E-2</v>
      </c>
      <c r="H24" s="36">
        <f>+U24</f>
        <v>0</v>
      </c>
      <c r="O24" s="36">
        <f t="shared" ca="1" si="2"/>
        <v>-4.3037840963876424E-3</v>
      </c>
      <c r="Q24" s="59">
        <f t="shared" si="3"/>
        <v>13759.886999999999</v>
      </c>
    </row>
    <row r="25" spans="1:21" s="36" customFormat="1" ht="12.95" customHeight="1" x14ac:dyDescent="0.2">
      <c r="A25" s="60" t="s">
        <v>74</v>
      </c>
      <c r="B25" s="61" t="s">
        <v>46</v>
      </c>
      <c r="C25" s="62">
        <v>29079.47</v>
      </c>
      <c r="D25" s="63"/>
      <c r="E25" s="36">
        <f t="shared" si="0"/>
        <v>1533.9816669789434</v>
      </c>
      <c r="F25" s="36">
        <f t="shared" si="1"/>
        <v>1534</v>
      </c>
      <c r="O25" s="36">
        <f t="shared" ca="1" si="2"/>
        <v>-4.1158226166974447E-3</v>
      </c>
      <c r="Q25" s="59">
        <f t="shared" si="3"/>
        <v>14060.970000000001</v>
      </c>
      <c r="U25" s="36">
        <f t="shared" ref="U25:U37" si="4">+C25-(C$7+F25*C$8)</f>
        <v>-5.0879999998869607E-2</v>
      </c>
    </row>
    <row r="26" spans="1:21" x14ac:dyDescent="0.2">
      <c r="A26" s="19" t="s">
        <v>74</v>
      </c>
      <c r="B26" s="21" t="s">
        <v>46</v>
      </c>
      <c r="C26" s="20">
        <v>36814.372000000003</v>
      </c>
      <c r="D26" s="2"/>
      <c r="E26">
        <f t="shared" si="0"/>
        <v>4321.0123517288112</v>
      </c>
      <c r="F26">
        <f t="shared" si="1"/>
        <v>4321</v>
      </c>
      <c r="O26">
        <f t="shared" ca="1" si="2"/>
        <v>7.1227548373186799E-4</v>
      </c>
      <c r="Q26" s="1">
        <f t="shared" si="3"/>
        <v>21795.872000000003</v>
      </c>
      <c r="U26">
        <f t="shared" si="4"/>
        <v>3.4280000007129274E-2</v>
      </c>
    </row>
    <row r="27" spans="1:21" x14ac:dyDescent="0.2">
      <c r="A27" s="19" t="s">
        <v>74</v>
      </c>
      <c r="B27" s="21" t="s">
        <v>52</v>
      </c>
      <c r="C27" s="20">
        <v>37015.595999999998</v>
      </c>
      <c r="D27" s="2"/>
      <c r="E27">
        <f t="shared" si="0"/>
        <v>4393.517143968983</v>
      </c>
      <c r="F27">
        <f t="shared" si="1"/>
        <v>4393.5</v>
      </c>
      <c r="O27">
        <f t="shared" ca="1" si="2"/>
        <v>8.3787186417001898E-4</v>
      </c>
      <c r="Q27" s="1">
        <f t="shared" si="3"/>
        <v>21997.095999999998</v>
      </c>
      <c r="U27">
        <f t="shared" si="4"/>
        <v>4.7579999998561107E-2</v>
      </c>
    </row>
    <row r="28" spans="1:21" x14ac:dyDescent="0.2">
      <c r="A28" s="19" t="s">
        <v>74</v>
      </c>
      <c r="B28" s="21" t="s">
        <v>52</v>
      </c>
      <c r="C28" s="20">
        <v>37115.457000000002</v>
      </c>
      <c r="D28" s="2"/>
      <c r="E28">
        <f t="shared" si="0"/>
        <v>4429.4989406626992</v>
      </c>
      <c r="F28">
        <f t="shared" si="1"/>
        <v>4429.5</v>
      </c>
      <c r="O28">
        <f t="shared" ca="1" si="2"/>
        <v>9.0023696342206565E-4</v>
      </c>
      <c r="Q28" s="1">
        <f t="shared" si="3"/>
        <v>22096.957000000002</v>
      </c>
      <c r="U28">
        <f t="shared" si="4"/>
        <v>-2.9399999984889291E-3</v>
      </c>
    </row>
    <row r="29" spans="1:21" x14ac:dyDescent="0.2">
      <c r="A29" s="19" t="s">
        <v>74</v>
      </c>
      <c r="B29" s="21" t="s">
        <v>46</v>
      </c>
      <c r="C29" s="20">
        <v>37172.375999999997</v>
      </c>
      <c r="D29" s="2"/>
      <c r="E29">
        <f t="shared" si="0"/>
        <v>4450.0079270138212</v>
      </c>
      <c r="F29">
        <f t="shared" si="1"/>
        <v>4450</v>
      </c>
      <c r="O29">
        <f t="shared" ca="1" si="2"/>
        <v>9.3575042271837067E-4</v>
      </c>
      <c r="Q29" s="1">
        <f t="shared" si="3"/>
        <v>22153.875999999997</v>
      </c>
      <c r="U29">
        <f t="shared" si="4"/>
        <v>2.1999999997206032E-2</v>
      </c>
    </row>
    <row r="30" spans="1:21" x14ac:dyDescent="0.2">
      <c r="A30" s="19" t="s">
        <v>74</v>
      </c>
      <c r="B30" s="21" t="s">
        <v>52</v>
      </c>
      <c r="C30" s="20">
        <v>37190.362999999998</v>
      </c>
      <c r="D30" s="2"/>
      <c r="E30">
        <f t="shared" si="0"/>
        <v>4456.4889814507869</v>
      </c>
      <c r="F30">
        <f t="shared" si="1"/>
        <v>4456.5</v>
      </c>
      <c r="O30">
        <f t="shared" ca="1" si="2"/>
        <v>9.4701078786110088E-4</v>
      </c>
      <c r="Q30" s="1">
        <f t="shared" si="3"/>
        <v>22171.862999999998</v>
      </c>
      <c r="U30">
        <f t="shared" si="4"/>
        <v>-3.0580000006011687E-2</v>
      </c>
    </row>
    <row r="31" spans="1:21" x14ac:dyDescent="0.2">
      <c r="A31" s="19" t="s">
        <v>74</v>
      </c>
      <c r="B31" s="21" t="s">
        <v>52</v>
      </c>
      <c r="C31" s="20">
        <v>37201.464999999997</v>
      </c>
      <c r="D31" s="2"/>
      <c r="E31">
        <f t="shared" si="0"/>
        <v>4460.4892408803298</v>
      </c>
      <c r="F31">
        <f t="shared" si="1"/>
        <v>4460.5</v>
      </c>
      <c r="O31">
        <f t="shared" ca="1" si="2"/>
        <v>9.539402433335507E-4</v>
      </c>
      <c r="Q31" s="1">
        <f t="shared" si="3"/>
        <v>22182.964999999997</v>
      </c>
      <c r="U31">
        <f t="shared" si="4"/>
        <v>-2.9860000002372544E-2</v>
      </c>
    </row>
    <row r="32" spans="1:21" x14ac:dyDescent="0.2">
      <c r="A32" s="19" t="s">
        <v>74</v>
      </c>
      <c r="B32" s="21" t="s">
        <v>46</v>
      </c>
      <c r="C32" s="20">
        <v>37222.296999999999</v>
      </c>
      <c r="D32" s="2"/>
      <c r="E32">
        <f t="shared" si="0"/>
        <v>4467.9954023319833</v>
      </c>
      <c r="F32">
        <f t="shared" si="1"/>
        <v>4468</v>
      </c>
      <c r="O32">
        <f t="shared" ca="1" si="2"/>
        <v>9.6693297234439358E-4</v>
      </c>
      <c r="Q32" s="1">
        <f t="shared" si="3"/>
        <v>22203.796999999999</v>
      </c>
      <c r="U32">
        <f t="shared" si="4"/>
        <v>-1.276000000507338E-2</v>
      </c>
    </row>
    <row r="33" spans="1:31" x14ac:dyDescent="0.2">
      <c r="A33" s="19" t="s">
        <v>74</v>
      </c>
      <c r="B33" s="21" t="s">
        <v>46</v>
      </c>
      <c r="C33" s="20">
        <v>37222.343999999997</v>
      </c>
      <c r="D33" s="2"/>
      <c r="E33">
        <f t="shared" si="0"/>
        <v>4468.0123373160568</v>
      </c>
      <c r="F33">
        <f t="shared" si="1"/>
        <v>4468</v>
      </c>
      <c r="O33">
        <f t="shared" ca="1" si="2"/>
        <v>9.6693297234439358E-4</v>
      </c>
      <c r="Q33" s="1">
        <f t="shared" si="3"/>
        <v>22203.843999999997</v>
      </c>
      <c r="U33">
        <f t="shared" si="4"/>
        <v>3.4239999993587844E-2</v>
      </c>
    </row>
    <row r="34" spans="1:31" x14ac:dyDescent="0.2">
      <c r="A34" s="19" t="s">
        <v>74</v>
      </c>
      <c r="B34" s="21" t="s">
        <v>46</v>
      </c>
      <c r="C34" s="20">
        <v>37222.368000000002</v>
      </c>
      <c r="D34" s="2"/>
      <c r="E34">
        <f t="shared" si="0"/>
        <v>4468.0209849675002</v>
      </c>
      <c r="F34">
        <f t="shared" si="1"/>
        <v>4468</v>
      </c>
      <c r="O34">
        <f t="shared" ca="1" si="2"/>
        <v>9.6693297234439358E-4</v>
      </c>
      <c r="Q34" s="1">
        <f t="shared" si="3"/>
        <v>22203.868000000002</v>
      </c>
      <c r="U34">
        <f t="shared" si="4"/>
        <v>5.8239999998477288E-2</v>
      </c>
    </row>
    <row r="35" spans="1:31" x14ac:dyDescent="0.2">
      <c r="A35" s="19" t="s">
        <v>74</v>
      </c>
      <c r="B35" s="21" t="s">
        <v>46</v>
      </c>
      <c r="C35" s="20">
        <v>37441.571000000004</v>
      </c>
      <c r="D35" s="2"/>
      <c r="E35">
        <f t="shared" si="0"/>
        <v>4547.0039490941599</v>
      </c>
      <c r="F35">
        <f t="shared" si="1"/>
        <v>4547</v>
      </c>
      <c r="O35">
        <f t="shared" ca="1" si="2"/>
        <v>1.1037897179252748E-3</v>
      </c>
      <c r="Q35" s="1">
        <f t="shared" si="3"/>
        <v>22423.071000000004</v>
      </c>
      <c r="U35">
        <f t="shared" si="4"/>
        <v>1.0960000006889459E-2</v>
      </c>
    </row>
    <row r="36" spans="1:31" x14ac:dyDescent="0.2">
      <c r="A36" s="19" t="s">
        <v>74</v>
      </c>
      <c r="B36" s="21" t="s">
        <v>46</v>
      </c>
      <c r="C36" s="20">
        <v>37466.487999999998</v>
      </c>
      <c r="D36" s="2"/>
      <c r="E36">
        <f t="shared" si="0"/>
        <v>4555.9820128849997</v>
      </c>
      <c r="F36">
        <f t="shared" si="1"/>
        <v>4556</v>
      </c>
      <c r="O36">
        <f t="shared" ca="1" si="2"/>
        <v>1.1193809927382862E-3</v>
      </c>
      <c r="Q36" s="1">
        <f t="shared" si="3"/>
        <v>22447.987999999998</v>
      </c>
      <c r="U36">
        <f t="shared" si="4"/>
        <v>-4.9920000004931353E-2</v>
      </c>
    </row>
    <row r="37" spans="1:31" x14ac:dyDescent="0.2">
      <c r="A37" s="19" t="s">
        <v>74</v>
      </c>
      <c r="B37" s="21" t="s">
        <v>46</v>
      </c>
      <c r="C37" s="20">
        <v>37605.292999999998</v>
      </c>
      <c r="D37" s="2"/>
      <c r="E37">
        <f t="shared" si="0"/>
        <v>4605.9960653185935</v>
      </c>
      <c r="F37">
        <f t="shared" si="1"/>
        <v>4606</v>
      </c>
      <c r="O37">
        <f t="shared" ca="1" si="2"/>
        <v>1.2059991861439077E-3</v>
      </c>
      <c r="Q37" s="1">
        <f t="shared" si="3"/>
        <v>22586.792999999998</v>
      </c>
      <c r="U37">
        <f t="shared" si="4"/>
        <v>-1.0920000000623986E-2</v>
      </c>
    </row>
    <row r="38" spans="1:31" x14ac:dyDescent="0.2">
      <c r="A38" t="s">
        <v>30</v>
      </c>
      <c r="C38" s="5">
        <v>48126.55</v>
      </c>
      <c r="D38" s="5"/>
      <c r="E38">
        <f t="shared" si="0"/>
        <v>8397.0028681377298</v>
      </c>
      <c r="F38">
        <f t="shared" si="1"/>
        <v>8397</v>
      </c>
      <c r="G38">
        <f t="shared" ref="G38:G49" si="5">+C38-(C$7+F38*C$8)</f>
        <v>7.9600000026402995E-3</v>
      </c>
      <c r="I38">
        <f>+G38</f>
        <v>7.9600000026402995E-3</v>
      </c>
      <c r="O38">
        <f t="shared" ca="1" si="2"/>
        <v>7.7733906101580914E-3</v>
      </c>
      <c r="Q38" s="1">
        <f t="shared" si="3"/>
        <v>33108.050000000003</v>
      </c>
      <c r="AA38">
        <v>14</v>
      </c>
      <c r="AC38" t="s">
        <v>29</v>
      </c>
      <c r="AE38" t="s">
        <v>31</v>
      </c>
    </row>
    <row r="39" spans="1:31" x14ac:dyDescent="0.2">
      <c r="A39" t="s">
        <v>30</v>
      </c>
      <c r="C39" s="5">
        <v>48126.555999999997</v>
      </c>
      <c r="D39" s="5"/>
      <c r="E39">
        <f t="shared" si="0"/>
        <v>8397.0050300505882</v>
      </c>
      <c r="F39">
        <f t="shared" si="1"/>
        <v>8397</v>
      </c>
      <c r="G39">
        <f t="shared" si="5"/>
        <v>1.3959999996586703E-2</v>
      </c>
      <c r="I39">
        <f>+G39</f>
        <v>1.3959999996586703E-2</v>
      </c>
      <c r="O39">
        <f t="shared" ca="1" si="2"/>
        <v>7.7733906101580914E-3</v>
      </c>
      <c r="Q39" s="1">
        <f t="shared" si="3"/>
        <v>33108.055999999997</v>
      </c>
      <c r="AA39">
        <v>17</v>
      </c>
      <c r="AC39" t="s">
        <v>32</v>
      </c>
      <c r="AE39" t="s">
        <v>31</v>
      </c>
    </row>
    <row r="40" spans="1:31" x14ac:dyDescent="0.2">
      <c r="A40" t="s">
        <v>33</v>
      </c>
      <c r="C40" s="5">
        <v>48756.542999999998</v>
      </c>
      <c r="D40" s="5">
        <v>5.0000000000000001E-3</v>
      </c>
      <c r="E40">
        <f t="shared" si="0"/>
        <v>8624.0011962584485</v>
      </c>
      <c r="F40">
        <f t="shared" si="1"/>
        <v>8624</v>
      </c>
      <c r="G40">
        <f t="shared" si="5"/>
        <v>3.3199999961652793E-3</v>
      </c>
      <c r="I40">
        <f>+G40</f>
        <v>3.3199999961652793E-3</v>
      </c>
      <c r="O40">
        <f t="shared" ca="1" si="2"/>
        <v>8.1666372082196091E-3</v>
      </c>
      <c r="Q40" s="1">
        <f t="shared" si="3"/>
        <v>33738.042999999998</v>
      </c>
      <c r="AA40">
        <v>9</v>
      </c>
      <c r="AC40" t="s">
        <v>32</v>
      </c>
      <c r="AE40" t="s">
        <v>31</v>
      </c>
    </row>
    <row r="41" spans="1:31" x14ac:dyDescent="0.2">
      <c r="A41" s="22" t="s">
        <v>51</v>
      </c>
      <c r="B41" s="23" t="s">
        <v>52</v>
      </c>
      <c r="C41" s="22">
        <v>51449.996229999997</v>
      </c>
      <c r="D41" s="22">
        <v>1.5499999999999999E-3</v>
      </c>
      <c r="E41" s="24">
        <f t="shared" si="0"/>
        <v>9594.503059106697</v>
      </c>
      <c r="F41">
        <f t="shared" si="1"/>
        <v>9594.5</v>
      </c>
      <c r="G41">
        <f t="shared" si="5"/>
        <v>8.4900000001653098E-3</v>
      </c>
      <c r="K41">
        <f>+G41</f>
        <v>8.4900000001653098E-3</v>
      </c>
      <c r="O41">
        <f t="shared" ca="1" si="2"/>
        <v>9.8478963422227138E-3</v>
      </c>
      <c r="Q41" s="1">
        <f t="shared" si="3"/>
        <v>36431.496229999997</v>
      </c>
    </row>
    <row r="42" spans="1:31" x14ac:dyDescent="0.2">
      <c r="A42" s="22" t="s">
        <v>51</v>
      </c>
      <c r="B42" s="23" t="s">
        <v>46</v>
      </c>
      <c r="C42" s="22">
        <v>51451.388140000003</v>
      </c>
      <c r="D42" s="22">
        <v>6.0800000000000003E-3</v>
      </c>
      <c r="E42" s="24">
        <f t="shared" si="0"/>
        <v>9595.0045904616418</v>
      </c>
      <c r="F42">
        <f t="shared" si="1"/>
        <v>9595</v>
      </c>
      <c r="G42">
        <f t="shared" si="5"/>
        <v>1.2740000005578622E-2</v>
      </c>
      <c r="K42">
        <f>+G42</f>
        <v>1.2740000005578622E-2</v>
      </c>
      <c r="O42">
        <f t="shared" ca="1" si="2"/>
        <v>9.8487625241567671E-3</v>
      </c>
      <c r="Q42" s="1">
        <f t="shared" si="3"/>
        <v>36432.888140000003</v>
      </c>
    </row>
    <row r="43" spans="1:31" x14ac:dyDescent="0.2">
      <c r="A43" s="25" t="s">
        <v>35</v>
      </c>
      <c r="B43" s="26"/>
      <c r="C43" s="27">
        <v>51709.488499999999</v>
      </c>
      <c r="D43" s="27">
        <v>2.0000000000000001E-4</v>
      </c>
      <c r="E43" s="24">
        <f t="shared" si="0"/>
        <v>9688.0030050588757</v>
      </c>
      <c r="F43">
        <f t="shared" si="1"/>
        <v>9688</v>
      </c>
      <c r="G43">
        <f t="shared" si="5"/>
        <v>8.3400000003166497E-3</v>
      </c>
      <c r="J43">
        <f>+G43</f>
        <v>8.3400000003166497E-3</v>
      </c>
      <c r="O43">
        <f t="shared" ca="1" si="2"/>
        <v>1.0009872363891222E-2</v>
      </c>
      <c r="Q43" s="1">
        <f t="shared" si="3"/>
        <v>36690.988499999999</v>
      </c>
    </row>
    <row r="44" spans="1:31" x14ac:dyDescent="0.2">
      <c r="A44" s="25" t="s">
        <v>45</v>
      </c>
      <c r="B44" s="28" t="s">
        <v>46</v>
      </c>
      <c r="C44" s="25">
        <v>53177.63</v>
      </c>
      <c r="D44" s="25" t="s">
        <v>47</v>
      </c>
      <c r="E44" s="24">
        <f t="shared" si="0"/>
        <v>10217.002003372583</v>
      </c>
      <c r="F44">
        <f t="shared" si="1"/>
        <v>10217</v>
      </c>
      <c r="G44">
        <f t="shared" si="5"/>
        <v>5.5599999977857806E-3</v>
      </c>
      <c r="K44">
        <f t="shared" ref="K44:K49" si="6">+G44</f>
        <v>5.5599999977857806E-3</v>
      </c>
      <c r="O44">
        <f t="shared" ca="1" si="2"/>
        <v>1.0926292850122695E-2</v>
      </c>
      <c r="Q44" s="1">
        <f t="shared" si="3"/>
        <v>38159.129999999997</v>
      </c>
    </row>
    <row r="45" spans="1:31" x14ac:dyDescent="0.2">
      <c r="A45" s="25" t="s">
        <v>48</v>
      </c>
      <c r="B45" s="28" t="s">
        <v>46</v>
      </c>
      <c r="C45" s="25">
        <v>54304.417580000001</v>
      </c>
      <c r="D45" s="25">
        <v>2.0000000000000001E-4</v>
      </c>
      <c r="E45" s="24">
        <f t="shared" si="0"/>
        <v>10623.00476341467</v>
      </c>
      <c r="F45">
        <f t="shared" si="1"/>
        <v>10623</v>
      </c>
      <c r="G45">
        <f t="shared" si="5"/>
        <v>1.322000000072876E-2</v>
      </c>
      <c r="K45">
        <f t="shared" si="6"/>
        <v>1.322000000072876E-2</v>
      </c>
      <c r="O45">
        <f t="shared" ca="1" si="2"/>
        <v>1.1629632580576334E-2</v>
      </c>
      <c r="Q45" s="1">
        <f t="shared" si="3"/>
        <v>39285.917580000001</v>
      </c>
    </row>
    <row r="46" spans="1:31" x14ac:dyDescent="0.2">
      <c r="A46" s="24" t="s">
        <v>161</v>
      </c>
      <c r="B46" s="23" t="s">
        <v>46</v>
      </c>
      <c r="C46" s="22">
        <v>55045.425799999997</v>
      </c>
      <c r="D46" s="22"/>
      <c r="E46" s="24">
        <f t="shared" si="0"/>
        <v>10890.003963506912</v>
      </c>
      <c r="F46">
        <f t="shared" si="1"/>
        <v>10890</v>
      </c>
      <c r="G46">
        <f t="shared" si="5"/>
        <v>1.0999999998603016E-2</v>
      </c>
      <c r="K46">
        <f t="shared" si="6"/>
        <v>1.0999999998603016E-2</v>
      </c>
      <c r="O46">
        <f t="shared" ca="1" si="2"/>
        <v>1.2092173733362351E-2</v>
      </c>
      <c r="Q46" s="1">
        <f t="shared" si="3"/>
        <v>40026.925799999997</v>
      </c>
    </row>
    <row r="47" spans="1:31" x14ac:dyDescent="0.2">
      <c r="A47" s="29" t="s">
        <v>50</v>
      </c>
      <c r="B47" s="23" t="s">
        <v>46</v>
      </c>
      <c r="C47" s="22">
        <v>56169.433380000002</v>
      </c>
      <c r="D47" s="22">
        <v>1E-4</v>
      </c>
      <c r="E47" s="24">
        <f t="shared" si="0"/>
        <v>11295.005037256966</v>
      </c>
      <c r="F47">
        <f t="shared" si="1"/>
        <v>11295</v>
      </c>
      <c r="G47">
        <f t="shared" si="5"/>
        <v>1.3980000003357418E-2</v>
      </c>
      <c r="K47">
        <f t="shared" si="6"/>
        <v>1.3980000003357418E-2</v>
      </c>
      <c r="O47">
        <f t="shared" ca="1" si="2"/>
        <v>1.279378109994788E-2</v>
      </c>
      <c r="Q47" s="1">
        <f t="shared" si="3"/>
        <v>41150.933380000002</v>
      </c>
    </row>
    <row r="48" spans="1:31" x14ac:dyDescent="0.2">
      <c r="A48" s="22" t="s">
        <v>51</v>
      </c>
      <c r="B48" s="23" t="s">
        <v>52</v>
      </c>
      <c r="C48" s="22">
        <v>56495.532379999997</v>
      </c>
      <c r="D48" s="22">
        <v>8.0000000000000004E-4</v>
      </c>
      <c r="E48" s="24">
        <f t="shared" si="0"/>
        <v>11412.504640906274</v>
      </c>
      <c r="F48">
        <f t="shared" si="1"/>
        <v>11412.5</v>
      </c>
      <c r="G48">
        <f t="shared" si="5"/>
        <v>1.2880000002041925E-2</v>
      </c>
      <c r="K48">
        <f t="shared" si="6"/>
        <v>1.2880000002041925E-2</v>
      </c>
      <c r="O48">
        <f t="shared" ca="1" si="2"/>
        <v>1.299733385445109E-2</v>
      </c>
      <c r="Q48" s="1">
        <f t="shared" si="3"/>
        <v>41477.032379999997</v>
      </c>
    </row>
    <row r="49" spans="1:17" x14ac:dyDescent="0.2">
      <c r="A49" s="22" t="s">
        <v>51</v>
      </c>
      <c r="B49" s="23" t="s">
        <v>52</v>
      </c>
      <c r="C49" s="22">
        <v>56728.660839999997</v>
      </c>
      <c r="D49" s="22">
        <v>1E-4</v>
      </c>
      <c r="E49" s="24">
        <f t="shared" si="0"/>
        <v>11496.505210209993</v>
      </c>
      <c r="F49">
        <f t="shared" si="1"/>
        <v>11496.5</v>
      </c>
      <c r="G49">
        <f t="shared" si="5"/>
        <v>1.4459999998507556E-2</v>
      </c>
      <c r="K49">
        <f t="shared" si="6"/>
        <v>1.4459999998507556E-2</v>
      </c>
      <c r="O49">
        <f t="shared" ca="1" si="2"/>
        <v>1.3142852419372533E-2</v>
      </c>
      <c r="Q49" s="1">
        <f t="shared" si="3"/>
        <v>41710.160839999997</v>
      </c>
    </row>
    <row r="50" spans="1:17" x14ac:dyDescent="0.2">
      <c r="A50" s="30" t="s">
        <v>176</v>
      </c>
      <c r="B50" s="31" t="s">
        <v>46</v>
      </c>
      <c r="C50" s="32">
        <v>57590.397190000003</v>
      </c>
      <c r="D50" s="32">
        <v>2.9999999999999997E-4</v>
      </c>
      <c r="E50" s="24">
        <f>+(C50-C$7)/C$8</f>
        <v>11807.005026447403</v>
      </c>
      <c r="F50">
        <f t="shared" si="1"/>
        <v>11807</v>
      </c>
      <c r="G50">
        <f>+C50-(C$7+F50*C$8)</f>
        <v>1.395000000775326E-2</v>
      </c>
      <c r="K50">
        <f>+G50</f>
        <v>1.395000000775326E-2</v>
      </c>
      <c r="O50">
        <f ca="1">+C$11+C$12*$F50</f>
        <v>1.368075140042144E-2</v>
      </c>
      <c r="Q50" s="1">
        <f>+C50-15018.5</f>
        <v>42571.897190000003</v>
      </c>
    </row>
    <row r="51" spans="1:17" x14ac:dyDescent="0.2">
      <c r="A51" s="33" t="s">
        <v>0</v>
      </c>
      <c r="B51" s="34" t="s">
        <v>46</v>
      </c>
      <c r="C51" s="35">
        <v>57923.4378</v>
      </c>
      <c r="D51" s="35">
        <v>1.1000000000000001E-3</v>
      </c>
      <c r="E51" s="24">
        <f>+(C51-C$7)/C$8</f>
        <v>11927.005822751971</v>
      </c>
      <c r="F51">
        <f t="shared" si="1"/>
        <v>11927</v>
      </c>
      <c r="G51">
        <f>+C51-(C$7+F51*C$8)</f>
        <v>1.6159999999217689E-2</v>
      </c>
      <c r="K51">
        <f>+G51</f>
        <v>1.6159999999217689E-2</v>
      </c>
      <c r="O51">
        <f ca="1">+C$11+C$12*$F51</f>
        <v>1.388863506459493E-2</v>
      </c>
      <c r="Q51" s="1">
        <f>+C51-15018.5</f>
        <v>42904.9378</v>
      </c>
    </row>
    <row r="52" spans="1:17" x14ac:dyDescent="0.2">
      <c r="B52" s="4"/>
      <c r="C52" s="2"/>
      <c r="D52" s="2"/>
    </row>
    <row r="53" spans="1:17" x14ac:dyDescent="0.2">
      <c r="B53" s="4"/>
      <c r="C53" s="2"/>
      <c r="D53" s="2"/>
    </row>
    <row r="54" spans="1:17" x14ac:dyDescent="0.2">
      <c r="B54" s="4"/>
      <c r="C54" s="2"/>
      <c r="D54" s="2"/>
    </row>
    <row r="55" spans="1:17" x14ac:dyDescent="0.2">
      <c r="B55" s="4"/>
      <c r="C55" s="2"/>
      <c r="D55" s="2"/>
    </row>
    <row r="56" spans="1:17" x14ac:dyDescent="0.2">
      <c r="B56" s="4"/>
      <c r="C56" s="2"/>
      <c r="D56" s="2"/>
    </row>
    <row r="57" spans="1:17" x14ac:dyDescent="0.2">
      <c r="C57" s="2"/>
      <c r="D57" s="2"/>
    </row>
    <row r="58" spans="1:17" x14ac:dyDescent="0.2">
      <c r="C58" s="2"/>
      <c r="D58" s="2"/>
    </row>
    <row r="59" spans="1:17" x14ac:dyDescent="0.2">
      <c r="C59" s="2"/>
      <c r="D59" s="2"/>
    </row>
    <row r="60" spans="1:17" x14ac:dyDescent="0.2">
      <c r="C60" s="2"/>
      <c r="D60" s="2"/>
    </row>
    <row r="61" spans="1:17" x14ac:dyDescent="0.2">
      <c r="C61" s="2"/>
      <c r="D61" s="2"/>
    </row>
    <row r="62" spans="1:17" x14ac:dyDescent="0.2">
      <c r="C62" s="2"/>
      <c r="D62" s="2"/>
    </row>
    <row r="63" spans="1:17" x14ac:dyDescent="0.2">
      <c r="C63" s="2"/>
      <c r="D63" s="2"/>
    </row>
    <row r="64" spans="1:17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</sheetData>
  <phoneticPr fontId="7" type="noConversion"/>
  <hyperlinks>
    <hyperlink ref="H62884" r:id="rId1" display="http://vsolj.cetus-net.org/bulletin.html"/>
    <hyperlink ref="H62877" r:id="rId2" display="https://www.aavso.org/ejaavso"/>
    <hyperlink ref="I62884" r:id="rId3" display="http://vsolj.cetus-net.org/bulletin.html"/>
    <hyperlink ref="AQ56535" r:id="rId4" display="http://cdsbib.u-strasbg.fr/cgi-bin/cdsbib?1990RMxAA..21..381G"/>
    <hyperlink ref="H62881" r:id="rId5" display="https://www.aavso.org/ejaavso"/>
    <hyperlink ref="AP3899" r:id="rId6" display="http://cdsbib.u-strasbg.fr/cgi-bin/cdsbib?1990RMxAA..21..381G"/>
    <hyperlink ref="AP3902" r:id="rId7" display="http://cdsbib.u-strasbg.fr/cgi-bin/cdsbib?1990RMxAA..21..381G"/>
    <hyperlink ref="AP3900" r:id="rId8" display="http://cdsbib.u-strasbg.fr/cgi-bin/cdsbib?1990RMxAA..21..381G"/>
    <hyperlink ref="AP3884" r:id="rId9" display="http://cdsbib.u-strasbg.fr/cgi-bin/cdsbib?1990RMxAA..21..381G"/>
    <hyperlink ref="AQ4113" r:id="rId10" display="http://cdsbib.u-strasbg.fr/cgi-bin/cdsbib?1990RMxAA..21..381G"/>
    <hyperlink ref="AQ4117" r:id="rId11" display="http://cdsbib.u-strasbg.fr/cgi-bin/cdsbib?1990RMxAA..21..381G"/>
    <hyperlink ref="AQ63797" r:id="rId12" display="http://cdsbib.u-strasbg.fr/cgi-bin/cdsbib?1990RMxAA..21..381G"/>
    <hyperlink ref="I1005" r:id="rId13" display="http://vsolj.cetus-net.org/bulletin.html"/>
    <hyperlink ref="H1005" r:id="rId14" display="http://vsolj.cetus-net.org/bulletin.html"/>
    <hyperlink ref="AQ64458" r:id="rId15" display="http://cdsbib.u-strasbg.fr/cgi-bin/cdsbib?1990RMxAA..21..381G"/>
    <hyperlink ref="AQ64457" r:id="rId16" display="http://cdsbib.u-strasbg.fr/cgi-bin/cdsbib?1990RMxAA..21..381G"/>
    <hyperlink ref="AP2175" r:id="rId17" display="http://cdsbib.u-strasbg.fr/cgi-bin/cdsbib?1990RMxAA..21..381G"/>
    <hyperlink ref="AP2193" r:id="rId18" display="http://cdsbib.u-strasbg.fr/cgi-bin/cdsbib?1990RMxAA..21..381G"/>
    <hyperlink ref="AP2194" r:id="rId19" display="http://cdsbib.u-strasbg.fr/cgi-bin/cdsbib?1990RMxAA..21..381G"/>
    <hyperlink ref="AP219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3"/>
  <sheetViews>
    <sheetView workbookViewId="0">
      <selection activeCell="A22" sqref="A22:C38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6" t="s">
        <v>53</v>
      </c>
      <c r="I1" s="7" t="s">
        <v>54</v>
      </c>
      <c r="J1" s="8" t="s">
        <v>55</v>
      </c>
    </row>
    <row r="2" spans="1:16" x14ac:dyDescent="0.2">
      <c r="I2" s="9" t="s">
        <v>56</v>
      </c>
      <c r="J2" s="10" t="s">
        <v>57</v>
      </c>
    </row>
    <row r="3" spans="1:16" x14ac:dyDescent="0.2">
      <c r="A3" s="11" t="s">
        <v>58</v>
      </c>
      <c r="I3" s="9" t="s">
        <v>59</v>
      </c>
      <c r="J3" s="10" t="s">
        <v>60</v>
      </c>
    </row>
    <row r="4" spans="1:16" x14ac:dyDescent="0.2">
      <c r="I4" s="9" t="s">
        <v>61</v>
      </c>
      <c r="J4" s="10" t="s">
        <v>60</v>
      </c>
    </row>
    <row r="5" spans="1:16" ht="13.5" thickBot="1" x14ac:dyDescent="0.25">
      <c r="I5" s="12" t="s">
        <v>62</v>
      </c>
      <c r="J5" s="13" t="s">
        <v>47</v>
      </c>
    </row>
    <row r="10" spans="1:16" ht="13.5" thickBot="1" x14ac:dyDescent="0.25"/>
    <row r="11" spans="1:16" ht="12.75" customHeight="1" thickBot="1" x14ac:dyDescent="0.25">
      <c r="A11" s="2" t="str">
        <f t="shared" ref="A11:A38" si="0">P11</f>
        <v> BBS 96 </v>
      </c>
      <c r="B11" s="4" t="str">
        <f t="shared" ref="B11:B38" si="1">IF(H11=INT(H11),"I","II")</f>
        <v>I</v>
      </c>
      <c r="C11" s="2">
        <f t="shared" ref="C11:C38" si="2">1*G11</f>
        <v>48126.55</v>
      </c>
      <c r="D11" s="3" t="str">
        <f t="shared" ref="D11:D38" si="3">VLOOKUP(F11,I$1:J$5,2,FALSE)</f>
        <v>vis</v>
      </c>
      <c r="E11" s="14">
        <f>VLOOKUP(C11,Active!C$21:E$972,3,FALSE)</f>
        <v>8397.0028681377298</v>
      </c>
      <c r="F11" s="4" t="s">
        <v>62</v>
      </c>
      <c r="G11" s="3" t="str">
        <f t="shared" ref="G11:G38" si="4">MID(I11,3,LEN(I11)-3)</f>
        <v>48126.550</v>
      </c>
      <c r="H11" s="2">
        <f t="shared" ref="H11:H38" si="5">1*K11</f>
        <v>8397</v>
      </c>
      <c r="I11" s="15" t="s">
        <v>116</v>
      </c>
      <c r="J11" s="16" t="s">
        <v>117</v>
      </c>
      <c r="K11" s="15">
        <v>8397</v>
      </c>
      <c r="L11" s="15" t="s">
        <v>118</v>
      </c>
      <c r="M11" s="16" t="s">
        <v>119</v>
      </c>
      <c r="N11" s="16"/>
      <c r="O11" s="17" t="s">
        <v>120</v>
      </c>
      <c r="P11" s="17" t="s">
        <v>121</v>
      </c>
    </row>
    <row r="12" spans="1:16" ht="12.75" customHeight="1" thickBot="1" x14ac:dyDescent="0.25">
      <c r="A12" s="2" t="str">
        <f t="shared" si="0"/>
        <v> BBS 96 </v>
      </c>
      <c r="B12" s="4" t="str">
        <f t="shared" si="1"/>
        <v>I</v>
      </c>
      <c r="C12" s="2">
        <f t="shared" si="2"/>
        <v>48126.555999999997</v>
      </c>
      <c r="D12" s="3" t="str">
        <f t="shared" si="3"/>
        <v>vis</v>
      </c>
      <c r="E12" s="14">
        <f>VLOOKUP(C12,Active!C$21:E$972,3,FALSE)</f>
        <v>8397.0050300505882</v>
      </c>
      <c r="F12" s="4" t="s">
        <v>62</v>
      </c>
      <c r="G12" s="3" t="str">
        <f t="shared" si="4"/>
        <v>48126.556</v>
      </c>
      <c r="H12" s="2">
        <f t="shared" si="5"/>
        <v>8397</v>
      </c>
      <c r="I12" s="15" t="s">
        <v>122</v>
      </c>
      <c r="J12" s="16" t="s">
        <v>123</v>
      </c>
      <c r="K12" s="15">
        <v>8397</v>
      </c>
      <c r="L12" s="15" t="s">
        <v>124</v>
      </c>
      <c r="M12" s="16" t="s">
        <v>119</v>
      </c>
      <c r="N12" s="16"/>
      <c r="O12" s="17" t="s">
        <v>125</v>
      </c>
      <c r="P12" s="17" t="s">
        <v>121</v>
      </c>
    </row>
    <row r="13" spans="1:16" ht="12.75" customHeight="1" thickBot="1" x14ac:dyDescent="0.25">
      <c r="A13" s="2" t="str">
        <f t="shared" si="0"/>
        <v> BBS 102 </v>
      </c>
      <c r="B13" s="4" t="str">
        <f t="shared" si="1"/>
        <v>I</v>
      </c>
      <c r="C13" s="2">
        <f t="shared" si="2"/>
        <v>48756.542999999998</v>
      </c>
      <c r="D13" s="3" t="str">
        <f t="shared" si="3"/>
        <v>vis</v>
      </c>
      <c r="E13" s="14">
        <f>VLOOKUP(C13,Active!C$21:E$972,3,FALSE)</f>
        <v>8624.0011962584485</v>
      </c>
      <c r="F13" s="4" t="s">
        <v>62</v>
      </c>
      <c r="G13" s="3" t="str">
        <f t="shared" si="4"/>
        <v>48756.543</v>
      </c>
      <c r="H13" s="2">
        <f t="shared" si="5"/>
        <v>8624</v>
      </c>
      <c r="I13" s="15" t="s">
        <v>126</v>
      </c>
      <c r="J13" s="16" t="s">
        <v>127</v>
      </c>
      <c r="K13" s="15">
        <v>8624</v>
      </c>
      <c r="L13" s="15" t="s">
        <v>128</v>
      </c>
      <c r="M13" s="16" t="s">
        <v>119</v>
      </c>
      <c r="N13" s="16"/>
      <c r="O13" s="17" t="s">
        <v>125</v>
      </c>
      <c r="P13" s="17" t="s">
        <v>129</v>
      </c>
    </row>
    <row r="14" spans="1:16" ht="12.75" customHeight="1" thickBot="1" x14ac:dyDescent="0.25">
      <c r="A14" s="2" t="str">
        <f t="shared" si="0"/>
        <v>IBVS 6114 </v>
      </c>
      <c r="B14" s="4" t="str">
        <f t="shared" si="1"/>
        <v>II</v>
      </c>
      <c r="C14" s="2">
        <f t="shared" si="2"/>
        <v>51449.996229999997</v>
      </c>
      <c r="D14" s="3" t="str">
        <f t="shared" si="3"/>
        <v>vis</v>
      </c>
      <c r="E14" s="14">
        <f>VLOOKUP(C14,Active!C$21:E$972,3,FALSE)</f>
        <v>9594.503059106697</v>
      </c>
      <c r="F14" s="4" t="s">
        <v>62</v>
      </c>
      <c r="G14" s="3" t="str">
        <f t="shared" si="4"/>
        <v>51449.99623</v>
      </c>
      <c r="H14" s="2">
        <f t="shared" si="5"/>
        <v>9594.5</v>
      </c>
      <c r="I14" s="15" t="s">
        <v>130</v>
      </c>
      <c r="J14" s="16" t="s">
        <v>131</v>
      </c>
      <c r="K14" s="15">
        <v>9594.5</v>
      </c>
      <c r="L14" s="15" t="s">
        <v>132</v>
      </c>
      <c r="M14" s="16" t="s">
        <v>133</v>
      </c>
      <c r="N14" s="16" t="s">
        <v>62</v>
      </c>
      <c r="O14" s="17" t="s">
        <v>134</v>
      </c>
      <c r="P14" s="18" t="s">
        <v>135</v>
      </c>
    </row>
    <row r="15" spans="1:16" ht="12.75" customHeight="1" thickBot="1" x14ac:dyDescent="0.25">
      <c r="A15" s="2" t="str">
        <f t="shared" si="0"/>
        <v>IBVS 6114 </v>
      </c>
      <c r="B15" s="4" t="str">
        <f t="shared" si="1"/>
        <v>I</v>
      </c>
      <c r="C15" s="2">
        <f t="shared" si="2"/>
        <v>51451.388140000003</v>
      </c>
      <c r="D15" s="3" t="str">
        <f t="shared" si="3"/>
        <v>vis</v>
      </c>
      <c r="E15" s="14">
        <f>VLOOKUP(C15,Active!C$21:E$972,3,FALSE)</f>
        <v>9595.0045904616418</v>
      </c>
      <c r="F15" s="4" t="s">
        <v>62</v>
      </c>
      <c r="G15" s="3" t="str">
        <f t="shared" si="4"/>
        <v>51451.38814</v>
      </c>
      <c r="H15" s="2">
        <f t="shared" si="5"/>
        <v>9595</v>
      </c>
      <c r="I15" s="15" t="s">
        <v>136</v>
      </c>
      <c r="J15" s="16" t="s">
        <v>137</v>
      </c>
      <c r="K15" s="15">
        <v>9595</v>
      </c>
      <c r="L15" s="15" t="s">
        <v>138</v>
      </c>
      <c r="M15" s="16" t="s">
        <v>133</v>
      </c>
      <c r="N15" s="16" t="s">
        <v>62</v>
      </c>
      <c r="O15" s="17" t="s">
        <v>134</v>
      </c>
      <c r="P15" s="18" t="s">
        <v>135</v>
      </c>
    </row>
    <row r="16" spans="1:16" ht="12.75" customHeight="1" thickBot="1" x14ac:dyDescent="0.25">
      <c r="A16" s="2" t="str">
        <f t="shared" si="0"/>
        <v>BAVM 152 </v>
      </c>
      <c r="B16" s="4" t="str">
        <f t="shared" si="1"/>
        <v>I</v>
      </c>
      <c r="C16" s="2">
        <f t="shared" si="2"/>
        <v>51709.488499999999</v>
      </c>
      <c r="D16" s="3" t="str">
        <f t="shared" si="3"/>
        <v>vis</v>
      </c>
      <c r="E16" s="14">
        <f>VLOOKUP(C16,Active!C$21:E$972,3,FALSE)</f>
        <v>9688.0030050588757</v>
      </c>
      <c r="F16" s="4" t="s">
        <v>62</v>
      </c>
      <c r="G16" s="3" t="str">
        <f t="shared" si="4"/>
        <v>51709.4885</v>
      </c>
      <c r="H16" s="2">
        <f t="shared" si="5"/>
        <v>9688</v>
      </c>
      <c r="I16" s="15" t="s">
        <v>139</v>
      </c>
      <c r="J16" s="16" t="s">
        <v>140</v>
      </c>
      <c r="K16" s="15">
        <v>9688</v>
      </c>
      <c r="L16" s="15" t="s">
        <v>141</v>
      </c>
      <c r="M16" s="16" t="s">
        <v>142</v>
      </c>
      <c r="N16" s="16" t="s">
        <v>143</v>
      </c>
      <c r="O16" s="17" t="s">
        <v>144</v>
      </c>
      <c r="P16" s="18" t="s">
        <v>145</v>
      </c>
    </row>
    <row r="17" spans="1:16" ht="12.75" customHeight="1" thickBot="1" x14ac:dyDescent="0.25">
      <c r="A17" s="2" t="str">
        <f t="shared" si="0"/>
        <v>BAVM 174 </v>
      </c>
      <c r="B17" s="4" t="str">
        <f t="shared" si="1"/>
        <v>I</v>
      </c>
      <c r="C17" s="2">
        <f t="shared" si="2"/>
        <v>53177.63</v>
      </c>
      <c r="D17" s="3" t="str">
        <f t="shared" si="3"/>
        <v>vis</v>
      </c>
      <c r="E17" s="14">
        <f>VLOOKUP(C17,Active!C$21:E$972,3,FALSE)</f>
        <v>10217.002003372583</v>
      </c>
      <c r="F17" s="4" t="s">
        <v>62</v>
      </c>
      <c r="G17" s="3" t="str">
        <f t="shared" si="4"/>
        <v>53177.630</v>
      </c>
      <c r="H17" s="2">
        <f t="shared" si="5"/>
        <v>10217</v>
      </c>
      <c r="I17" s="15" t="s">
        <v>146</v>
      </c>
      <c r="J17" s="16" t="s">
        <v>147</v>
      </c>
      <c r="K17" s="15">
        <v>10217</v>
      </c>
      <c r="L17" s="15" t="s">
        <v>148</v>
      </c>
      <c r="M17" s="16" t="s">
        <v>119</v>
      </c>
      <c r="N17" s="16"/>
      <c r="O17" s="17" t="s">
        <v>149</v>
      </c>
      <c r="P17" s="18" t="s">
        <v>150</v>
      </c>
    </row>
    <row r="18" spans="1:16" ht="12.75" customHeight="1" thickBot="1" x14ac:dyDescent="0.25">
      <c r="A18" s="2" t="str">
        <f t="shared" si="0"/>
        <v>OEJV 0074 </v>
      </c>
      <c r="B18" s="4" t="str">
        <f t="shared" si="1"/>
        <v>I</v>
      </c>
      <c r="C18" s="2">
        <f t="shared" si="2"/>
        <v>54304.417580000001</v>
      </c>
      <c r="D18" s="3" t="str">
        <f t="shared" si="3"/>
        <v>vis</v>
      </c>
      <c r="E18" s="14">
        <f>VLOOKUP(C18,Active!C$21:E$972,3,FALSE)</f>
        <v>10623.00476341467</v>
      </c>
      <c r="F18" s="4" t="s">
        <v>62</v>
      </c>
      <c r="G18" s="3" t="str">
        <f t="shared" si="4"/>
        <v>54304.41758</v>
      </c>
      <c r="H18" s="2">
        <f t="shared" si="5"/>
        <v>10623</v>
      </c>
      <c r="I18" s="15" t="s">
        <v>151</v>
      </c>
      <c r="J18" s="16" t="s">
        <v>152</v>
      </c>
      <c r="K18" s="15">
        <v>10623</v>
      </c>
      <c r="L18" s="15" t="s">
        <v>153</v>
      </c>
      <c r="M18" s="16" t="s">
        <v>133</v>
      </c>
      <c r="N18" s="16" t="s">
        <v>154</v>
      </c>
      <c r="O18" s="17" t="s">
        <v>155</v>
      </c>
      <c r="P18" s="18" t="s">
        <v>156</v>
      </c>
    </row>
    <row r="19" spans="1:16" ht="12.75" customHeight="1" thickBot="1" x14ac:dyDescent="0.25">
      <c r="A19" s="2" t="str">
        <f t="shared" si="0"/>
        <v>OEJV 0160 </v>
      </c>
      <c r="B19" s="4" t="str">
        <f t="shared" si="1"/>
        <v>I</v>
      </c>
      <c r="C19" s="2">
        <f t="shared" si="2"/>
        <v>56169.433380000002</v>
      </c>
      <c r="D19" s="3" t="str">
        <f t="shared" si="3"/>
        <v>vis</v>
      </c>
      <c r="E19" s="14">
        <f>VLOOKUP(C19,Active!C$21:E$972,3,FALSE)</f>
        <v>11295.005037256966</v>
      </c>
      <c r="F19" s="4" t="s">
        <v>62</v>
      </c>
      <c r="G19" s="3" t="str">
        <f t="shared" si="4"/>
        <v>56169.43338</v>
      </c>
      <c r="H19" s="2">
        <f t="shared" si="5"/>
        <v>11295</v>
      </c>
      <c r="I19" s="15" t="s">
        <v>162</v>
      </c>
      <c r="J19" s="16" t="s">
        <v>163</v>
      </c>
      <c r="K19" s="15">
        <v>11295</v>
      </c>
      <c r="L19" s="15" t="s">
        <v>164</v>
      </c>
      <c r="M19" s="16" t="s">
        <v>133</v>
      </c>
      <c r="N19" s="16" t="s">
        <v>54</v>
      </c>
      <c r="O19" s="17" t="s">
        <v>165</v>
      </c>
      <c r="P19" s="18" t="s">
        <v>166</v>
      </c>
    </row>
    <row r="20" spans="1:16" ht="12.75" customHeight="1" thickBot="1" x14ac:dyDescent="0.25">
      <c r="A20" s="2" t="str">
        <f t="shared" si="0"/>
        <v>IBVS 6114 </v>
      </c>
      <c r="B20" s="4" t="str">
        <f t="shared" si="1"/>
        <v>II</v>
      </c>
      <c r="C20" s="2">
        <f t="shared" si="2"/>
        <v>56495.532379999997</v>
      </c>
      <c r="D20" s="3" t="str">
        <f t="shared" si="3"/>
        <v>vis</v>
      </c>
      <c r="E20" s="14">
        <f>VLOOKUP(C20,Active!C$21:E$972,3,FALSE)</f>
        <v>11412.504640906274</v>
      </c>
      <c r="F20" s="4" t="s">
        <v>62</v>
      </c>
      <c r="G20" s="3" t="str">
        <f t="shared" si="4"/>
        <v>56495.53238</v>
      </c>
      <c r="H20" s="2">
        <f t="shared" si="5"/>
        <v>11412.5</v>
      </c>
      <c r="I20" s="15" t="s">
        <v>167</v>
      </c>
      <c r="J20" s="16" t="s">
        <v>168</v>
      </c>
      <c r="K20" s="15">
        <v>11412.5</v>
      </c>
      <c r="L20" s="15" t="s">
        <v>169</v>
      </c>
      <c r="M20" s="16" t="s">
        <v>133</v>
      </c>
      <c r="N20" s="16" t="s">
        <v>170</v>
      </c>
      <c r="O20" s="17" t="s">
        <v>171</v>
      </c>
      <c r="P20" s="18" t="s">
        <v>135</v>
      </c>
    </row>
    <row r="21" spans="1:16" ht="12.75" customHeight="1" thickBot="1" x14ac:dyDescent="0.25">
      <c r="A21" s="2" t="str">
        <f t="shared" si="0"/>
        <v>IBVS 6114 </v>
      </c>
      <c r="B21" s="4" t="str">
        <f t="shared" si="1"/>
        <v>II</v>
      </c>
      <c r="C21" s="2">
        <f t="shared" si="2"/>
        <v>56728.660839999997</v>
      </c>
      <c r="D21" s="3" t="str">
        <f t="shared" si="3"/>
        <v>vis</v>
      </c>
      <c r="E21" s="14">
        <f>VLOOKUP(C21,Active!C$21:E$972,3,FALSE)</f>
        <v>11496.505210209993</v>
      </c>
      <c r="F21" s="4" t="s">
        <v>62</v>
      </c>
      <c r="G21" s="3" t="str">
        <f t="shared" si="4"/>
        <v>56728.66084</v>
      </c>
      <c r="H21" s="2">
        <f t="shared" si="5"/>
        <v>11496.5</v>
      </c>
      <c r="I21" s="15" t="s">
        <v>172</v>
      </c>
      <c r="J21" s="16" t="s">
        <v>173</v>
      </c>
      <c r="K21" s="15">
        <v>11496.5</v>
      </c>
      <c r="L21" s="15" t="s">
        <v>174</v>
      </c>
      <c r="M21" s="16" t="s">
        <v>133</v>
      </c>
      <c r="N21" s="16" t="s">
        <v>170</v>
      </c>
      <c r="O21" s="17" t="s">
        <v>134</v>
      </c>
      <c r="P21" s="18" t="s">
        <v>135</v>
      </c>
    </row>
    <row r="22" spans="1:16" ht="12.75" customHeight="1" thickBot="1" x14ac:dyDescent="0.25">
      <c r="A22" s="2" t="str">
        <f t="shared" si="0"/>
        <v> AN 235.317 </v>
      </c>
      <c r="B22" s="4" t="str">
        <f t="shared" si="1"/>
        <v>I</v>
      </c>
      <c r="C22" s="2">
        <f t="shared" si="2"/>
        <v>24822.182000000001</v>
      </c>
      <c r="D22" s="3" t="str">
        <f t="shared" si="3"/>
        <v>vis</v>
      </c>
      <c r="E22" s="14">
        <f>VLOOKUP(C22,Active!C$21:E$972,3,FALSE)</f>
        <v>7.2063762031313646E-4</v>
      </c>
      <c r="F22" s="4" t="s">
        <v>62</v>
      </c>
      <c r="G22" s="3" t="str">
        <f t="shared" si="4"/>
        <v>24822.182</v>
      </c>
      <c r="H22" s="2">
        <f t="shared" si="5"/>
        <v>0</v>
      </c>
      <c r="I22" s="15" t="s">
        <v>64</v>
      </c>
      <c r="J22" s="16" t="s">
        <v>65</v>
      </c>
      <c r="K22" s="15">
        <v>0</v>
      </c>
      <c r="L22" s="15" t="s">
        <v>66</v>
      </c>
      <c r="M22" s="16" t="s">
        <v>67</v>
      </c>
      <c r="N22" s="16"/>
      <c r="O22" s="17" t="s">
        <v>68</v>
      </c>
      <c r="P22" s="17" t="s">
        <v>69</v>
      </c>
    </row>
    <row r="23" spans="1:16" ht="12.75" customHeight="1" thickBot="1" x14ac:dyDescent="0.25">
      <c r="A23" s="2" t="str">
        <f t="shared" si="0"/>
        <v>IBVS 33 </v>
      </c>
      <c r="B23" s="4" t="str">
        <f t="shared" si="1"/>
        <v>I</v>
      </c>
      <c r="C23" s="2">
        <f t="shared" si="2"/>
        <v>26956.385999999999</v>
      </c>
      <c r="D23" s="3" t="str">
        <f t="shared" si="3"/>
        <v>vis</v>
      </c>
      <c r="E23" s="14">
        <f>VLOOKUP(C23,Active!C$21:E$972,3,FALSE)</f>
        <v>768.99456639234336</v>
      </c>
      <c r="F23" s="4" t="s">
        <v>62</v>
      </c>
      <c r="G23" s="3" t="str">
        <f t="shared" si="4"/>
        <v>26956.386</v>
      </c>
      <c r="H23" s="2">
        <f t="shared" si="5"/>
        <v>769</v>
      </c>
      <c r="I23" s="15" t="s">
        <v>70</v>
      </c>
      <c r="J23" s="16" t="s">
        <v>71</v>
      </c>
      <c r="K23" s="15">
        <v>769</v>
      </c>
      <c r="L23" s="15" t="s">
        <v>72</v>
      </c>
      <c r="M23" s="16" t="s">
        <v>67</v>
      </c>
      <c r="N23" s="16"/>
      <c r="O23" s="17" t="s">
        <v>73</v>
      </c>
      <c r="P23" s="18" t="s">
        <v>74</v>
      </c>
    </row>
    <row r="24" spans="1:16" ht="12.75" customHeight="1" thickBot="1" x14ac:dyDescent="0.25">
      <c r="A24" s="2" t="str">
        <f t="shared" si="0"/>
        <v>IBVS 33 </v>
      </c>
      <c r="B24" s="4" t="str">
        <f t="shared" si="1"/>
        <v>II</v>
      </c>
      <c r="C24" s="2">
        <f t="shared" si="2"/>
        <v>28778.386999999999</v>
      </c>
      <c r="D24" s="3" t="str">
        <f t="shared" si="3"/>
        <v>vis</v>
      </c>
      <c r="E24" s="14">
        <f>VLOOKUP(C24,Active!C$21:E$972,3,FALSE)</f>
        <v>1425.4957986826739</v>
      </c>
      <c r="F24" s="4" t="s">
        <v>62</v>
      </c>
      <c r="G24" s="3" t="str">
        <f t="shared" si="4"/>
        <v>28778.387</v>
      </c>
      <c r="H24" s="2">
        <f t="shared" si="5"/>
        <v>1425.5</v>
      </c>
      <c r="I24" s="15" t="s">
        <v>75</v>
      </c>
      <c r="J24" s="16" t="s">
        <v>76</v>
      </c>
      <c r="K24" s="15">
        <v>1425.5</v>
      </c>
      <c r="L24" s="15" t="s">
        <v>77</v>
      </c>
      <c r="M24" s="16" t="s">
        <v>67</v>
      </c>
      <c r="N24" s="16"/>
      <c r="O24" s="17" t="s">
        <v>73</v>
      </c>
      <c r="P24" s="18" t="s">
        <v>74</v>
      </c>
    </row>
    <row r="25" spans="1:16" ht="12.75" customHeight="1" thickBot="1" x14ac:dyDescent="0.25">
      <c r="A25" s="2" t="str">
        <f t="shared" si="0"/>
        <v>IBVS 33 </v>
      </c>
      <c r="B25" s="4" t="str">
        <f t="shared" si="1"/>
        <v>I</v>
      </c>
      <c r="C25" s="2">
        <f t="shared" si="2"/>
        <v>29079.47</v>
      </c>
      <c r="D25" s="3" t="str">
        <f t="shared" si="3"/>
        <v>vis</v>
      </c>
      <c r="E25" s="14">
        <f>VLOOKUP(C25,Active!C$21:E$972,3,FALSE)</f>
        <v>1533.9816669789434</v>
      </c>
      <c r="F25" s="4" t="s">
        <v>62</v>
      </c>
      <c r="G25" s="3" t="str">
        <f t="shared" si="4"/>
        <v>29079.470</v>
      </c>
      <c r="H25" s="2">
        <f t="shared" si="5"/>
        <v>1534</v>
      </c>
      <c r="I25" s="15" t="s">
        <v>78</v>
      </c>
      <c r="J25" s="16" t="s">
        <v>79</v>
      </c>
      <c r="K25" s="15">
        <v>1534</v>
      </c>
      <c r="L25" s="15" t="s">
        <v>80</v>
      </c>
      <c r="M25" s="16" t="s">
        <v>67</v>
      </c>
      <c r="N25" s="16"/>
      <c r="O25" s="17" t="s">
        <v>73</v>
      </c>
      <c r="P25" s="18" t="s">
        <v>74</v>
      </c>
    </row>
    <row r="26" spans="1:16" ht="12.75" customHeight="1" thickBot="1" x14ac:dyDescent="0.25">
      <c r="A26" s="2" t="str">
        <f t="shared" si="0"/>
        <v>IBVS 33 </v>
      </c>
      <c r="B26" s="4" t="str">
        <f t="shared" si="1"/>
        <v>I</v>
      </c>
      <c r="C26" s="2">
        <f t="shared" si="2"/>
        <v>36814.372000000003</v>
      </c>
      <c r="D26" s="3" t="str">
        <f t="shared" si="3"/>
        <v>vis</v>
      </c>
      <c r="E26" s="14">
        <f>VLOOKUP(C26,Active!C$21:E$972,3,FALSE)</f>
        <v>4321.0123517288112</v>
      </c>
      <c r="F26" s="4" t="s">
        <v>62</v>
      </c>
      <c r="G26" s="3" t="str">
        <f t="shared" si="4"/>
        <v>36814.372</v>
      </c>
      <c r="H26" s="2">
        <f t="shared" si="5"/>
        <v>4321</v>
      </c>
      <c r="I26" s="15" t="s">
        <v>81</v>
      </c>
      <c r="J26" s="16" t="s">
        <v>82</v>
      </c>
      <c r="K26" s="15">
        <v>4321</v>
      </c>
      <c r="L26" s="15" t="s">
        <v>83</v>
      </c>
      <c r="M26" s="16" t="s">
        <v>67</v>
      </c>
      <c r="N26" s="16"/>
      <c r="O26" s="17" t="s">
        <v>73</v>
      </c>
      <c r="P26" s="18" t="s">
        <v>74</v>
      </c>
    </row>
    <row r="27" spans="1:16" ht="12.75" customHeight="1" thickBot="1" x14ac:dyDescent="0.25">
      <c r="A27" s="2" t="str">
        <f t="shared" si="0"/>
        <v>IBVS 33 </v>
      </c>
      <c r="B27" s="4" t="str">
        <f t="shared" si="1"/>
        <v>II</v>
      </c>
      <c r="C27" s="2">
        <f t="shared" si="2"/>
        <v>37015.595999999998</v>
      </c>
      <c r="D27" s="3" t="str">
        <f t="shared" si="3"/>
        <v>vis</v>
      </c>
      <c r="E27" s="14">
        <f>VLOOKUP(C27,Active!C$21:E$972,3,FALSE)</f>
        <v>4393.517143968983</v>
      </c>
      <c r="F27" s="4" t="s">
        <v>62</v>
      </c>
      <c r="G27" s="3" t="str">
        <f t="shared" si="4"/>
        <v>37015.596</v>
      </c>
      <c r="H27" s="2">
        <f t="shared" si="5"/>
        <v>4393.5</v>
      </c>
      <c r="I27" s="15" t="s">
        <v>84</v>
      </c>
      <c r="J27" s="16" t="s">
        <v>85</v>
      </c>
      <c r="K27" s="15">
        <v>4393.5</v>
      </c>
      <c r="L27" s="15" t="s">
        <v>86</v>
      </c>
      <c r="M27" s="16" t="s">
        <v>67</v>
      </c>
      <c r="N27" s="16"/>
      <c r="O27" s="17" t="s">
        <v>87</v>
      </c>
      <c r="P27" s="18" t="s">
        <v>74</v>
      </c>
    </row>
    <row r="28" spans="1:16" ht="12.75" customHeight="1" thickBot="1" x14ac:dyDescent="0.25">
      <c r="A28" s="2" t="str">
        <f t="shared" si="0"/>
        <v>IBVS 33 </v>
      </c>
      <c r="B28" s="4" t="str">
        <f t="shared" si="1"/>
        <v>II</v>
      </c>
      <c r="C28" s="2">
        <f t="shared" si="2"/>
        <v>37115.457000000002</v>
      </c>
      <c r="D28" s="3" t="str">
        <f t="shared" si="3"/>
        <v>vis</v>
      </c>
      <c r="E28" s="14">
        <f>VLOOKUP(C28,Active!C$21:E$972,3,FALSE)</f>
        <v>4429.4989406626992</v>
      </c>
      <c r="F28" s="4" t="s">
        <v>62</v>
      </c>
      <c r="G28" s="3" t="str">
        <f t="shared" si="4"/>
        <v>37115.457</v>
      </c>
      <c r="H28" s="2">
        <f t="shared" si="5"/>
        <v>4429.5</v>
      </c>
      <c r="I28" s="15" t="s">
        <v>88</v>
      </c>
      <c r="J28" s="16" t="s">
        <v>89</v>
      </c>
      <c r="K28" s="15">
        <v>4429.5</v>
      </c>
      <c r="L28" s="15" t="s">
        <v>63</v>
      </c>
      <c r="M28" s="16" t="s">
        <v>67</v>
      </c>
      <c r="N28" s="16"/>
      <c r="O28" s="17" t="s">
        <v>87</v>
      </c>
      <c r="P28" s="18" t="s">
        <v>74</v>
      </c>
    </row>
    <row r="29" spans="1:16" ht="12.75" customHeight="1" thickBot="1" x14ac:dyDescent="0.25">
      <c r="A29" s="2" t="str">
        <f t="shared" si="0"/>
        <v>IBVS 33 </v>
      </c>
      <c r="B29" s="4" t="str">
        <f t="shared" si="1"/>
        <v>I</v>
      </c>
      <c r="C29" s="2">
        <f t="shared" si="2"/>
        <v>37172.375999999997</v>
      </c>
      <c r="D29" s="3" t="str">
        <f t="shared" si="3"/>
        <v>vis</v>
      </c>
      <c r="E29" s="14">
        <f>VLOOKUP(C29,Active!C$21:E$972,3,FALSE)</f>
        <v>4450.0079270138212</v>
      </c>
      <c r="F29" s="4" t="s">
        <v>62</v>
      </c>
      <c r="G29" s="3" t="str">
        <f t="shared" si="4"/>
        <v>37172.376</v>
      </c>
      <c r="H29" s="2">
        <f t="shared" si="5"/>
        <v>4450</v>
      </c>
      <c r="I29" s="15" t="s">
        <v>90</v>
      </c>
      <c r="J29" s="16" t="s">
        <v>91</v>
      </c>
      <c r="K29" s="15">
        <v>4450</v>
      </c>
      <c r="L29" s="15" t="s">
        <v>92</v>
      </c>
      <c r="M29" s="16" t="s">
        <v>67</v>
      </c>
      <c r="N29" s="16"/>
      <c r="O29" s="17" t="s">
        <v>87</v>
      </c>
      <c r="P29" s="18" t="s">
        <v>74</v>
      </c>
    </row>
    <row r="30" spans="1:16" ht="12.75" customHeight="1" thickBot="1" x14ac:dyDescent="0.25">
      <c r="A30" s="2" t="str">
        <f t="shared" si="0"/>
        <v>IBVS 33 </v>
      </c>
      <c r="B30" s="4" t="str">
        <f t="shared" si="1"/>
        <v>II</v>
      </c>
      <c r="C30" s="2">
        <f t="shared" si="2"/>
        <v>37190.362999999998</v>
      </c>
      <c r="D30" s="3" t="str">
        <f t="shared" si="3"/>
        <v>vis</v>
      </c>
      <c r="E30" s="14">
        <f>VLOOKUP(C30,Active!C$21:E$972,3,FALSE)</f>
        <v>4456.4889814507869</v>
      </c>
      <c r="F30" s="4" t="s">
        <v>62</v>
      </c>
      <c r="G30" s="3" t="str">
        <f t="shared" si="4"/>
        <v>37190.363</v>
      </c>
      <c r="H30" s="2">
        <f t="shared" si="5"/>
        <v>4456.5</v>
      </c>
      <c r="I30" s="15" t="s">
        <v>93</v>
      </c>
      <c r="J30" s="16" t="s">
        <v>94</v>
      </c>
      <c r="K30" s="15">
        <v>4456.5</v>
      </c>
      <c r="L30" s="15" t="s">
        <v>95</v>
      </c>
      <c r="M30" s="16" t="s">
        <v>67</v>
      </c>
      <c r="N30" s="16"/>
      <c r="O30" s="17" t="s">
        <v>73</v>
      </c>
      <c r="P30" s="18" t="s">
        <v>74</v>
      </c>
    </row>
    <row r="31" spans="1:16" ht="12.75" customHeight="1" thickBot="1" x14ac:dyDescent="0.25">
      <c r="A31" s="2" t="str">
        <f t="shared" si="0"/>
        <v>IBVS 33 </v>
      </c>
      <c r="B31" s="4" t="str">
        <f t="shared" si="1"/>
        <v>II</v>
      </c>
      <c r="C31" s="2">
        <f t="shared" si="2"/>
        <v>37201.464999999997</v>
      </c>
      <c r="D31" s="3" t="str">
        <f t="shared" si="3"/>
        <v>vis</v>
      </c>
      <c r="E31" s="14">
        <f>VLOOKUP(C31,Active!C$21:E$972,3,FALSE)</f>
        <v>4460.4892408803298</v>
      </c>
      <c r="F31" s="4" t="s">
        <v>62</v>
      </c>
      <c r="G31" s="3" t="str">
        <f t="shared" si="4"/>
        <v>37201.465</v>
      </c>
      <c r="H31" s="2">
        <f t="shared" si="5"/>
        <v>4460.5</v>
      </c>
      <c r="I31" s="15" t="s">
        <v>96</v>
      </c>
      <c r="J31" s="16" t="s">
        <v>97</v>
      </c>
      <c r="K31" s="15">
        <v>4460.5</v>
      </c>
      <c r="L31" s="15" t="s">
        <v>98</v>
      </c>
      <c r="M31" s="16" t="s">
        <v>67</v>
      </c>
      <c r="N31" s="16"/>
      <c r="O31" s="17" t="s">
        <v>87</v>
      </c>
      <c r="P31" s="18" t="s">
        <v>74</v>
      </c>
    </row>
    <row r="32" spans="1:16" ht="12.75" customHeight="1" thickBot="1" x14ac:dyDescent="0.25">
      <c r="A32" s="2" t="str">
        <f t="shared" si="0"/>
        <v>IBVS 33 </v>
      </c>
      <c r="B32" s="4" t="str">
        <f t="shared" si="1"/>
        <v>I</v>
      </c>
      <c r="C32" s="2">
        <f t="shared" si="2"/>
        <v>37222.296999999999</v>
      </c>
      <c r="D32" s="3" t="str">
        <f t="shared" si="3"/>
        <v>vis</v>
      </c>
      <c r="E32" s="14">
        <f>VLOOKUP(C32,Active!C$21:E$972,3,FALSE)</f>
        <v>4467.9954023319833</v>
      </c>
      <c r="F32" s="4" t="s">
        <v>62</v>
      </c>
      <c r="G32" s="3" t="str">
        <f t="shared" si="4"/>
        <v>37222.297</v>
      </c>
      <c r="H32" s="2">
        <f t="shared" si="5"/>
        <v>4468</v>
      </c>
      <c r="I32" s="15" t="s">
        <v>99</v>
      </c>
      <c r="J32" s="16" t="s">
        <v>100</v>
      </c>
      <c r="K32" s="15">
        <v>4468</v>
      </c>
      <c r="L32" s="15" t="s">
        <v>101</v>
      </c>
      <c r="M32" s="16" t="s">
        <v>67</v>
      </c>
      <c r="N32" s="16"/>
      <c r="O32" s="17" t="s">
        <v>87</v>
      </c>
      <c r="P32" s="18" t="s">
        <v>74</v>
      </c>
    </row>
    <row r="33" spans="1:16" ht="12.75" customHeight="1" thickBot="1" x14ac:dyDescent="0.25">
      <c r="A33" s="2" t="str">
        <f t="shared" si="0"/>
        <v>IBVS 33 </v>
      </c>
      <c r="B33" s="4" t="str">
        <f t="shared" si="1"/>
        <v>I</v>
      </c>
      <c r="C33" s="2">
        <f t="shared" si="2"/>
        <v>37222.343999999997</v>
      </c>
      <c r="D33" s="3" t="str">
        <f t="shared" si="3"/>
        <v>vis</v>
      </c>
      <c r="E33" s="14">
        <f>VLOOKUP(C33,Active!C$21:E$972,3,FALSE)</f>
        <v>4468.0123373160568</v>
      </c>
      <c r="F33" s="4" t="s">
        <v>62</v>
      </c>
      <c r="G33" s="3" t="str">
        <f t="shared" si="4"/>
        <v>37222.344</v>
      </c>
      <c r="H33" s="2">
        <f t="shared" si="5"/>
        <v>4468</v>
      </c>
      <c r="I33" s="15" t="s">
        <v>102</v>
      </c>
      <c r="J33" s="16" t="s">
        <v>103</v>
      </c>
      <c r="K33" s="15">
        <v>4468</v>
      </c>
      <c r="L33" s="15" t="s">
        <v>83</v>
      </c>
      <c r="M33" s="16" t="s">
        <v>67</v>
      </c>
      <c r="N33" s="16"/>
      <c r="O33" s="17" t="s">
        <v>87</v>
      </c>
      <c r="P33" s="18" t="s">
        <v>74</v>
      </c>
    </row>
    <row r="34" spans="1:16" ht="12.75" customHeight="1" thickBot="1" x14ac:dyDescent="0.25">
      <c r="A34" s="2" t="str">
        <f t="shared" si="0"/>
        <v>IBVS 33 </v>
      </c>
      <c r="B34" s="4" t="str">
        <f t="shared" si="1"/>
        <v>I</v>
      </c>
      <c r="C34" s="2">
        <f t="shared" si="2"/>
        <v>37222.368000000002</v>
      </c>
      <c r="D34" s="3" t="str">
        <f t="shared" si="3"/>
        <v>vis</v>
      </c>
      <c r="E34" s="14">
        <f>VLOOKUP(C34,Active!C$21:E$972,3,FALSE)</f>
        <v>4468.0209849675002</v>
      </c>
      <c r="F34" s="4" t="s">
        <v>62</v>
      </c>
      <c r="G34" s="3" t="str">
        <f t="shared" si="4"/>
        <v>37222.368</v>
      </c>
      <c r="H34" s="2">
        <f t="shared" si="5"/>
        <v>4468</v>
      </c>
      <c r="I34" s="15" t="s">
        <v>104</v>
      </c>
      <c r="J34" s="16" t="s">
        <v>105</v>
      </c>
      <c r="K34" s="15">
        <v>4468</v>
      </c>
      <c r="L34" s="15" t="s">
        <v>106</v>
      </c>
      <c r="M34" s="16" t="s">
        <v>67</v>
      </c>
      <c r="N34" s="16"/>
      <c r="O34" s="17" t="s">
        <v>87</v>
      </c>
      <c r="P34" s="18" t="s">
        <v>74</v>
      </c>
    </row>
    <row r="35" spans="1:16" ht="12.75" customHeight="1" thickBot="1" x14ac:dyDescent="0.25">
      <c r="A35" s="2" t="str">
        <f t="shared" si="0"/>
        <v>IBVS 33 </v>
      </c>
      <c r="B35" s="4" t="str">
        <f t="shared" si="1"/>
        <v>I</v>
      </c>
      <c r="C35" s="2">
        <f t="shared" si="2"/>
        <v>37441.571000000004</v>
      </c>
      <c r="D35" s="3" t="str">
        <f t="shared" si="3"/>
        <v>vis</v>
      </c>
      <c r="E35" s="14">
        <f>VLOOKUP(C35,Active!C$21:E$972,3,FALSE)</f>
        <v>4547.0039490941599</v>
      </c>
      <c r="F35" s="4" t="s">
        <v>62</v>
      </c>
      <c r="G35" s="3" t="str">
        <f t="shared" si="4"/>
        <v>37441.571</v>
      </c>
      <c r="H35" s="2">
        <f t="shared" si="5"/>
        <v>4547</v>
      </c>
      <c r="I35" s="15" t="s">
        <v>107</v>
      </c>
      <c r="J35" s="16" t="s">
        <v>108</v>
      </c>
      <c r="K35" s="15">
        <v>4547</v>
      </c>
      <c r="L35" s="15" t="s">
        <v>109</v>
      </c>
      <c r="M35" s="16" t="s">
        <v>67</v>
      </c>
      <c r="N35" s="16"/>
      <c r="O35" s="17" t="s">
        <v>87</v>
      </c>
      <c r="P35" s="18" t="s">
        <v>74</v>
      </c>
    </row>
    <row r="36" spans="1:16" ht="12.75" customHeight="1" thickBot="1" x14ac:dyDescent="0.25">
      <c r="A36" s="2" t="str">
        <f t="shared" si="0"/>
        <v>IBVS 33 </v>
      </c>
      <c r="B36" s="4" t="str">
        <f t="shared" si="1"/>
        <v>I</v>
      </c>
      <c r="C36" s="2">
        <f t="shared" si="2"/>
        <v>37466.487999999998</v>
      </c>
      <c r="D36" s="3" t="str">
        <f t="shared" si="3"/>
        <v>vis</v>
      </c>
      <c r="E36" s="14">
        <f>VLOOKUP(C36,Active!C$21:E$972,3,FALSE)</f>
        <v>4555.9820128849997</v>
      </c>
      <c r="F36" s="4" t="s">
        <v>62</v>
      </c>
      <c r="G36" s="3" t="str">
        <f t="shared" si="4"/>
        <v>37466.488</v>
      </c>
      <c r="H36" s="2">
        <f t="shared" si="5"/>
        <v>4556</v>
      </c>
      <c r="I36" s="15" t="s">
        <v>110</v>
      </c>
      <c r="J36" s="16" t="s">
        <v>111</v>
      </c>
      <c r="K36" s="15">
        <v>4556</v>
      </c>
      <c r="L36" s="15" t="s">
        <v>112</v>
      </c>
      <c r="M36" s="16" t="s">
        <v>67</v>
      </c>
      <c r="N36" s="16"/>
      <c r="O36" s="17" t="s">
        <v>87</v>
      </c>
      <c r="P36" s="18" t="s">
        <v>74</v>
      </c>
    </row>
    <row r="37" spans="1:16" ht="12.75" customHeight="1" thickBot="1" x14ac:dyDescent="0.25">
      <c r="A37" s="2" t="str">
        <f t="shared" si="0"/>
        <v>IBVS 33 </v>
      </c>
      <c r="B37" s="4" t="str">
        <f t="shared" si="1"/>
        <v>I</v>
      </c>
      <c r="C37" s="2">
        <f t="shared" si="2"/>
        <v>37605.292999999998</v>
      </c>
      <c r="D37" s="3" t="str">
        <f t="shared" si="3"/>
        <v>vis</v>
      </c>
      <c r="E37" s="14">
        <f>VLOOKUP(C37,Active!C$21:E$972,3,FALSE)</f>
        <v>4605.9960653185935</v>
      </c>
      <c r="F37" s="4" t="s">
        <v>62</v>
      </c>
      <c r="G37" s="3" t="str">
        <f t="shared" si="4"/>
        <v>37605.293</v>
      </c>
      <c r="H37" s="2">
        <f t="shared" si="5"/>
        <v>4606</v>
      </c>
      <c r="I37" s="15" t="s">
        <v>113</v>
      </c>
      <c r="J37" s="16" t="s">
        <v>114</v>
      </c>
      <c r="K37" s="15">
        <v>4606</v>
      </c>
      <c r="L37" s="15" t="s">
        <v>115</v>
      </c>
      <c r="M37" s="16" t="s">
        <v>67</v>
      </c>
      <c r="N37" s="16"/>
      <c r="O37" s="17" t="s">
        <v>87</v>
      </c>
      <c r="P37" s="18" t="s">
        <v>74</v>
      </c>
    </row>
    <row r="38" spans="1:16" ht="12.75" customHeight="1" thickBot="1" x14ac:dyDescent="0.25">
      <c r="A38" s="2" t="str">
        <f t="shared" si="0"/>
        <v>BAVM 212 </v>
      </c>
      <c r="B38" s="4" t="str">
        <f t="shared" si="1"/>
        <v>I</v>
      </c>
      <c r="C38" s="2">
        <f t="shared" si="2"/>
        <v>55045.425799999997</v>
      </c>
      <c r="D38" s="3" t="str">
        <f t="shared" si="3"/>
        <v>vis</v>
      </c>
      <c r="E38" s="14">
        <f>VLOOKUP(C38,Active!C$21:E$972,3,FALSE)</f>
        <v>10890.003963506912</v>
      </c>
      <c r="F38" s="4" t="s">
        <v>62</v>
      </c>
      <c r="G38" s="3" t="str">
        <f t="shared" si="4"/>
        <v>55045.4258</v>
      </c>
      <c r="H38" s="2">
        <f t="shared" si="5"/>
        <v>10890</v>
      </c>
      <c r="I38" s="15" t="s">
        <v>157</v>
      </c>
      <c r="J38" s="16" t="s">
        <v>158</v>
      </c>
      <c r="K38" s="15">
        <v>10890</v>
      </c>
      <c r="L38" s="15" t="s">
        <v>159</v>
      </c>
      <c r="M38" s="16" t="s">
        <v>133</v>
      </c>
      <c r="N38" s="16" t="s">
        <v>143</v>
      </c>
      <c r="O38" s="17" t="s">
        <v>160</v>
      </c>
      <c r="P38" s="18" t="s">
        <v>161</v>
      </c>
    </row>
    <row r="39" spans="1:16" x14ac:dyDescent="0.2">
      <c r="B39" s="4"/>
      <c r="E39" s="14"/>
      <c r="F39" s="4"/>
    </row>
    <row r="40" spans="1:16" x14ac:dyDescent="0.2">
      <c r="B40" s="4"/>
      <c r="E40" s="14"/>
      <c r="F40" s="4"/>
    </row>
    <row r="41" spans="1:16" x14ac:dyDescent="0.2">
      <c r="B41" s="4"/>
      <c r="E41" s="14"/>
      <c r="F41" s="4"/>
    </row>
    <row r="42" spans="1:16" x14ac:dyDescent="0.2">
      <c r="B42" s="4"/>
      <c r="E42" s="14"/>
      <c r="F42" s="4"/>
    </row>
    <row r="43" spans="1:16" x14ac:dyDescent="0.2">
      <c r="B43" s="4"/>
      <c r="E43" s="14"/>
      <c r="F43" s="4"/>
    </row>
    <row r="44" spans="1:16" x14ac:dyDescent="0.2">
      <c r="B44" s="4"/>
      <c r="E44" s="14"/>
      <c r="F44" s="4"/>
    </row>
    <row r="45" spans="1:16" x14ac:dyDescent="0.2">
      <c r="B45" s="4"/>
      <c r="E45" s="14"/>
      <c r="F45" s="4"/>
    </row>
    <row r="46" spans="1:16" x14ac:dyDescent="0.2">
      <c r="B46" s="4"/>
      <c r="E46" s="14"/>
      <c r="F46" s="4"/>
    </row>
    <row r="47" spans="1:16" x14ac:dyDescent="0.2">
      <c r="B47" s="4"/>
      <c r="E47" s="14"/>
      <c r="F47" s="4"/>
    </row>
    <row r="48" spans="1:16" x14ac:dyDescent="0.2">
      <c r="B48" s="4"/>
      <c r="E48" s="14"/>
      <c r="F48" s="4"/>
    </row>
    <row r="49" spans="2:6" x14ac:dyDescent="0.2">
      <c r="B49" s="4"/>
      <c r="E49" s="14"/>
      <c r="F49" s="4"/>
    </row>
    <row r="50" spans="2:6" x14ac:dyDescent="0.2">
      <c r="B50" s="4"/>
      <c r="E50" s="14"/>
      <c r="F50" s="4"/>
    </row>
    <row r="51" spans="2:6" x14ac:dyDescent="0.2">
      <c r="B51" s="4"/>
      <c r="E51" s="14"/>
      <c r="F51" s="4"/>
    </row>
    <row r="52" spans="2:6" x14ac:dyDescent="0.2">
      <c r="B52" s="4"/>
      <c r="E52" s="14"/>
      <c r="F52" s="4"/>
    </row>
    <row r="53" spans="2:6" x14ac:dyDescent="0.2">
      <c r="B53" s="4"/>
      <c r="E53" s="14"/>
      <c r="F53" s="4"/>
    </row>
    <row r="54" spans="2:6" x14ac:dyDescent="0.2">
      <c r="B54" s="4"/>
      <c r="E54" s="14"/>
      <c r="F54" s="4"/>
    </row>
    <row r="55" spans="2:6" x14ac:dyDescent="0.2">
      <c r="B55" s="4"/>
      <c r="E55" s="14"/>
      <c r="F55" s="4"/>
    </row>
    <row r="56" spans="2:6" x14ac:dyDescent="0.2">
      <c r="B56" s="4"/>
      <c r="E56" s="14"/>
      <c r="F56" s="4"/>
    </row>
    <row r="57" spans="2:6" x14ac:dyDescent="0.2">
      <c r="B57" s="4"/>
      <c r="E57" s="14"/>
      <c r="F57" s="4"/>
    </row>
    <row r="58" spans="2:6" x14ac:dyDescent="0.2">
      <c r="B58" s="4"/>
      <c r="E58" s="14"/>
      <c r="F58" s="4"/>
    </row>
    <row r="59" spans="2:6" x14ac:dyDescent="0.2">
      <c r="B59" s="4"/>
      <c r="E59" s="14"/>
      <c r="F59" s="4"/>
    </row>
    <row r="60" spans="2:6" x14ac:dyDescent="0.2">
      <c r="B60" s="4"/>
      <c r="E60" s="14"/>
      <c r="F60" s="4"/>
    </row>
    <row r="61" spans="2:6" x14ac:dyDescent="0.2">
      <c r="B61" s="4"/>
      <c r="E61" s="14"/>
      <c r="F61" s="4"/>
    </row>
    <row r="62" spans="2:6" x14ac:dyDescent="0.2">
      <c r="B62" s="4"/>
      <c r="E62" s="14"/>
      <c r="F62" s="4"/>
    </row>
    <row r="63" spans="2:6" x14ac:dyDescent="0.2">
      <c r="B63" s="4"/>
      <c r="E63" s="14"/>
      <c r="F63" s="4"/>
    </row>
    <row r="64" spans="2:6" x14ac:dyDescent="0.2">
      <c r="B64" s="4"/>
      <c r="E64" s="14"/>
      <c r="F64" s="4"/>
    </row>
    <row r="65" spans="2:6" x14ac:dyDescent="0.2">
      <c r="B65" s="4"/>
      <c r="E65" s="1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</sheetData>
  <phoneticPr fontId="7" type="noConversion"/>
  <hyperlinks>
    <hyperlink ref="P23" r:id="rId1" display="http://www.konkoly.hu/cgi-bin/IBVS?33"/>
    <hyperlink ref="P24" r:id="rId2" display="http://www.konkoly.hu/cgi-bin/IBVS?33"/>
    <hyperlink ref="P25" r:id="rId3" display="http://www.konkoly.hu/cgi-bin/IBVS?33"/>
    <hyperlink ref="P26" r:id="rId4" display="http://www.konkoly.hu/cgi-bin/IBVS?33"/>
    <hyperlink ref="P27" r:id="rId5" display="http://www.konkoly.hu/cgi-bin/IBVS?33"/>
    <hyperlink ref="P28" r:id="rId6" display="http://www.konkoly.hu/cgi-bin/IBVS?33"/>
    <hyperlink ref="P29" r:id="rId7" display="http://www.konkoly.hu/cgi-bin/IBVS?33"/>
    <hyperlink ref="P30" r:id="rId8" display="http://www.konkoly.hu/cgi-bin/IBVS?33"/>
    <hyperlink ref="P31" r:id="rId9" display="http://www.konkoly.hu/cgi-bin/IBVS?33"/>
    <hyperlink ref="P32" r:id="rId10" display="http://www.konkoly.hu/cgi-bin/IBVS?33"/>
    <hyperlink ref="P33" r:id="rId11" display="http://www.konkoly.hu/cgi-bin/IBVS?33"/>
    <hyperlink ref="P34" r:id="rId12" display="http://www.konkoly.hu/cgi-bin/IBVS?33"/>
    <hyperlink ref="P35" r:id="rId13" display="http://www.konkoly.hu/cgi-bin/IBVS?33"/>
    <hyperlink ref="P36" r:id="rId14" display="http://www.konkoly.hu/cgi-bin/IBVS?33"/>
    <hyperlink ref="P37" r:id="rId15" display="http://www.konkoly.hu/cgi-bin/IBVS?33"/>
    <hyperlink ref="P14" r:id="rId16" display="http://www.konkoly.hu/cgi-bin/IBVS?6114"/>
    <hyperlink ref="P15" r:id="rId17" display="http://www.konkoly.hu/cgi-bin/IBVS?6114"/>
    <hyperlink ref="P16" r:id="rId18" display="http://www.bav-astro.de/sfs/BAVM_link.php?BAVMnr=152"/>
    <hyperlink ref="P17" r:id="rId19" display="http://www.bav-astro.de/sfs/BAVM_link.php?BAVMnr=174"/>
    <hyperlink ref="P18" r:id="rId20" display="http://var.astro.cz/oejv/issues/oejv0074.pdf"/>
    <hyperlink ref="P38" r:id="rId21" display="http://www.bav-astro.de/sfs/BAVM_link.php?BAVMnr=212"/>
    <hyperlink ref="P19" r:id="rId22" display="http://var.astro.cz/oejv/issues/oejv0160.pdf"/>
    <hyperlink ref="P20" r:id="rId23" display="http://www.konkoly.hu/cgi-bin/IBVS?6114"/>
    <hyperlink ref="P21" r:id="rId24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2024-03-06T06:04:00Z</dcterms:modified>
</cp:coreProperties>
</file>