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477090A-3B15-41E4-8267-B8A6884CC1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E24" i="1"/>
  <c r="F24" i="1"/>
  <c r="G24" i="1"/>
  <c r="K24" i="1"/>
  <c r="Q23" i="1"/>
  <c r="Q24" i="1"/>
  <c r="E22" i="1"/>
  <c r="F22" i="1"/>
  <c r="G22" i="1"/>
  <c r="K22" i="1"/>
  <c r="C9" i="1"/>
  <c r="D9" i="1"/>
  <c r="C21" i="1"/>
  <c r="E21" i="1"/>
  <c r="F21" i="1"/>
  <c r="G21" i="1"/>
  <c r="H21" i="1"/>
  <c r="Q22" i="1"/>
  <c r="A21" i="1"/>
  <c r="F16" i="1"/>
  <c r="F17" i="1" s="1"/>
  <c r="C17" i="1"/>
  <c r="Q21" i="1"/>
  <c r="C12" i="1"/>
  <c r="C11" i="1"/>
  <c r="O21" i="1" l="1"/>
  <c r="C15" i="1"/>
  <c r="F18" i="1" s="1"/>
  <c r="O22" i="1"/>
  <c r="O23" i="1"/>
  <c r="O24" i="1"/>
  <c r="C16" i="1"/>
  <c r="D18" i="1" s="1"/>
  <c r="C18" i="1" l="1"/>
  <c r="F19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<sst xmlns="http://schemas.openxmlformats.org/spreadsheetml/2006/main" count="56" uniqueCount="51">
  <si>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</si>
  <si>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</si>
  <si>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</si>
  <si>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</si>
  <si>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</si>
  <si>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</si>
  <si>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</si>
  <si>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</si>
  <si>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</si>
  <si>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</si>
  <si>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</si>
  <si>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</si>
  <si>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</si>
  <si>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</si>
  <si>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</si>
  <si>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</si>
  <si>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</si>
  <si>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</si>
  <si>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</si>
  <si>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</si>
  <si>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</si>
  <si>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</si>
  <si>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</si>
  <si>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</si>
  <si>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</si>
  <si>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</si>
  <si>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</si>
  <si>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</si>
  <si>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</si>
  <si>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</si>
  <si>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</si>
  <si>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</si>
  <si>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</si>
  <si>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</si>
  <si>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</si>
  <si>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</si>
  <si>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</si>
  <si>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</si>
  <si>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V0370 Sge</t>
  </si>
  <si>
    <t>V0370 Sge / GSC 1625-0975</t>
  </si>
  <si>
    <t>EA</t>
  </si>
  <si>
    <t>IBVS 5681</t>
  </si>
  <si>
    <t>OEJV 0160</t>
  </si>
  <si>
    <t>I</t>
  </si>
  <si>
    <t>G1625-0975</t>
  </si>
  <si>
    <t>pg</t>
  </si>
  <si>
    <t>vis</t>
  </si>
  <si>
    <t>PE</t>
  </si>
  <si>
    <t>CCD</t>
  </si>
  <si>
    <t>II</t>
  </si>
  <si>
    <t>IBVS 6193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</si>
</sst>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9" fillId="0" borderId="0" xfId="41" applyFont="1" applyAlignment="1">
      <alignment vertical="center" wrapText="1"/>
    </xf>
    <xf numFmtId="0" fontId="29" fillId="0" borderId="0" xfId="41" applyFont="1" applyAlignment="1">
      <alignment horizontal="center" vertical="center" wrapText="1"/>
    </xf>
    <xf numFmtId="0" fontId="29" fillId="0" borderId="0" xfId="4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V0370 Sge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491.5</c:v>
                </c:pt>
                <c:pt idx="3">
                  <c:v>529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98-4A19-8201-1845B517D4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491.5</c:v>
                </c:pt>
                <c:pt idx="3">
                  <c:v>529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98-4A19-8201-1845B517D4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491.5</c:v>
                </c:pt>
                <c:pt idx="3">
                  <c:v>529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98-4A19-8201-1845B517D4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491.5</c:v>
                </c:pt>
                <c:pt idx="3">
                  <c:v>529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-4.7579999998561107E-2</c:v>
                </c:pt>
                <c:pt idx="2">
                  <c:v>-1.0016000000032363</c:v>
                </c:pt>
                <c:pt idx="3">
                  <c:v>-3.56000000028871E-2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98-4A19-8201-1845B517D4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491.5</c:v>
                </c:pt>
                <c:pt idx="3">
                  <c:v>529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98-4A19-8201-1845B517D4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491.5</c:v>
                </c:pt>
                <c:pt idx="3">
                  <c:v>529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98-4A19-8201-1845B517D4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491.5</c:v>
                </c:pt>
                <c:pt idx="3">
                  <c:v>529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98-4A19-8201-1845B517D4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491.5</c:v>
                </c:pt>
                <c:pt idx="3">
                  <c:v>529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2.9487242163011962E-2</c:v>
                </c:pt>
                <c:pt idx="1">
                  <c:v>-0.2918162956038135</c:v>
                </c:pt>
                <c:pt idx="2">
                  <c:v>-0.39503073851546849</c:v>
                </c:pt>
                <c:pt idx="3">
                  <c:v>-0.42742020804841457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98-4A19-8201-1845B517D4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491.5</c:v>
                </c:pt>
                <c:pt idx="3">
                  <c:v>529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98-4A19-8201-1845B517D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234560"/>
        <c:axId val="1"/>
      </c:scatterChart>
      <c:valAx>
        <c:axId val="68423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23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116BFF7-85BE-13D5-E542-9841D8437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3" customFormat="1" ht="20.25" x14ac:dyDescent="0.2">
      <c r="A1" s="35" t="s">
        <v>39</v>
      </c>
    </row>
    <row r="2" spans="1:6" s="3" customFormat="1" ht="12.95" customHeight="1" x14ac:dyDescent="0.2">
      <c r="A2" s="3" t="s">
        <v>23</v>
      </c>
      <c r="B2" s="3" t="s">
        <v>40</v>
      </c>
      <c r="C2" s="4"/>
      <c r="D2" s="4"/>
      <c r="E2" s="3" t="s">
        <v>38</v>
      </c>
      <c r="F2" s="3" t="s">
        <v>44</v>
      </c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0</v>
      </c>
      <c r="C4" s="6" t="s">
        <v>37</v>
      </c>
      <c r="D4" s="7" t="s">
        <v>37</v>
      </c>
    </row>
    <row r="5" spans="1:6" s="3" customFormat="1" ht="12.95" customHeight="1" thickTop="1" x14ac:dyDescent="0.2">
      <c r="A5" s="8" t="s">
        <v>28</v>
      </c>
      <c r="C5" s="9">
        <v>-9.5</v>
      </c>
      <c r="D5" s="3" t="s">
        <v>29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36">
        <v>52734.942999999999</v>
      </c>
      <c r="D7" s="11" t="s">
        <v>41</v>
      </c>
    </row>
    <row r="8" spans="1:6" s="3" customFormat="1" ht="12.95" customHeight="1" x14ac:dyDescent="0.2">
      <c r="A8" s="3" t="s">
        <v>3</v>
      </c>
      <c r="C8" s="36">
        <v>8.3263999999999996</v>
      </c>
      <c r="D8" s="11" t="s">
        <v>41</v>
      </c>
    </row>
    <row r="9" spans="1:6" s="3" customFormat="1" ht="12.95" customHeight="1" x14ac:dyDescent="0.2">
      <c r="A9" s="12" t="s">
        <v>32</v>
      </c>
      <c r="B9" s="13">
        <v>21</v>
      </c>
      <c r="C9" s="14" t="str">
        <f>"F"&amp;B9</f>
        <v>F21</v>
      </c>
      <c r="D9" s="15" t="str">
        <f>"G"&amp;B9</f>
        <v>G21</v>
      </c>
    </row>
    <row r="10" spans="1:6" s="3" customFormat="1" ht="12.95" customHeight="1" thickBot="1" x14ac:dyDescent="0.25">
      <c r="C10" s="16" t="s">
        <v>19</v>
      </c>
      <c r="D10" s="16" t="s">
        <v>20</v>
      </c>
    </row>
    <row r="11" spans="1:6" s="3" customFormat="1" ht="12.95" customHeight="1" x14ac:dyDescent="0.2">
      <c r="A11" s="3" t="s">
        <v>15</v>
      </c>
      <c r="C11" s="15">
        <f ca="1">INTERCEPT(INDIRECT($D$9):G992,INDIRECT($C$9):F992)</f>
        <v>2.9487242163011962E-2</v>
      </c>
      <c r="D11" s="4"/>
    </row>
    <row r="12" spans="1:6" s="3" customFormat="1" ht="12.95" customHeight="1" x14ac:dyDescent="0.2">
      <c r="A12" s="3" t="s">
        <v>16</v>
      </c>
      <c r="C12" s="15">
        <f ca="1">SLOPE(INDIRECT($D$9):G992,INDIRECT($C$9):F992)</f>
        <v>-8.6371918754522977E-4</v>
      </c>
      <c r="D12" s="4"/>
    </row>
    <row r="13" spans="1:6" s="3" customFormat="1" ht="12.95" customHeight="1" x14ac:dyDescent="0.2">
      <c r="A13" s="3" t="s">
        <v>18</v>
      </c>
      <c r="C13" s="4" t="s">
        <v>13</v>
      </c>
    </row>
    <row r="14" spans="1:6" s="3" customFormat="1" ht="12.95" customHeight="1" x14ac:dyDescent="0.2"/>
    <row r="15" spans="1:6" s="3" customFormat="1" ht="12.95" customHeight="1" x14ac:dyDescent="0.2">
      <c r="A15" s="17" t="s">
        <v>17</v>
      </c>
      <c r="C15" s="18">
        <f ca="1">(C7+C11)+(C8+C12)*INT(MAX(F21:F3533))</f>
        <v>57139.181179791951</v>
      </c>
      <c r="E15" s="19" t="s">
        <v>34</v>
      </c>
      <c r="F15" s="9">
        <v>1</v>
      </c>
    </row>
    <row r="16" spans="1:6" s="3" customFormat="1" ht="12.95" customHeight="1" x14ac:dyDescent="0.2">
      <c r="A16" s="5" t="s">
        <v>4</v>
      </c>
      <c r="C16" s="20">
        <f ca="1">+C8+C12</f>
        <v>8.3255362808124538</v>
      </c>
      <c r="E16" s="19" t="s">
        <v>30</v>
      </c>
      <c r="F16" s="21">
        <f ca="1">NOW()+15018.5+$C$5/24</f>
        <v>60375.818106597217</v>
      </c>
    </row>
    <row r="17" spans="1:21" s="3" customFormat="1" ht="12.95" customHeight="1" thickBot="1" x14ac:dyDescent="0.25">
      <c r="A17" s="19" t="s">
        <v>27</v>
      </c>
      <c r="C17" s="3">
        <f>COUNT(C21:C2191)</f>
        <v>4</v>
      </c>
      <c r="E17" s="19" t="s">
        <v>35</v>
      </c>
      <c r="F17" s="21">
        <f ca="1">ROUND(2*(F16-$C$7)/$C$8,0)/2+F15</f>
        <v>918.5</v>
      </c>
    </row>
    <row r="18" spans="1:21" s="3" customFormat="1" ht="12.95" customHeight="1" thickTop="1" thickBot="1" x14ac:dyDescent="0.25">
      <c r="A18" s="5" t="s">
        <v>5</v>
      </c>
      <c r="C18" s="22">
        <f ca="1">+C15</f>
        <v>57139.181179791951</v>
      </c>
      <c r="D18" s="23">
        <f ca="1">+C16</f>
        <v>8.3255362808124538</v>
      </c>
      <c r="E18" s="19" t="s">
        <v>36</v>
      </c>
      <c r="F18" s="15">
        <f ca="1">ROUND(2*(F16-$C$15)/$C$16,0)/2+F15</f>
        <v>390</v>
      </c>
    </row>
    <row r="19" spans="1:21" s="3" customFormat="1" ht="12.95" customHeight="1" thickTop="1" x14ac:dyDescent="0.2">
      <c r="E19" s="19" t="s">
        <v>31</v>
      </c>
      <c r="F19" s="24">
        <f ca="1">+$C$15+$C$16*F18-15018.5-$C$5/24</f>
        <v>45368.036162642144</v>
      </c>
    </row>
    <row r="20" spans="1:21" s="3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5" t="s">
        <v>45</v>
      </c>
      <c r="I20" s="25" t="s">
        <v>46</v>
      </c>
      <c r="J20" s="25" t="s">
        <v>47</v>
      </c>
      <c r="K20" s="25" t="s">
        <v>48</v>
      </c>
      <c r="L20" s="25" t="s">
        <v>24</v>
      </c>
      <c r="M20" s="25" t="s">
        <v>25</v>
      </c>
      <c r="N20" s="25" t="s">
        <v>26</v>
      </c>
      <c r="O20" s="25" t="s">
        <v>22</v>
      </c>
      <c r="P20" s="26" t="s">
        <v>21</v>
      </c>
      <c r="Q20" s="16" t="s">
        <v>14</v>
      </c>
      <c r="U20" s="27" t="s">
        <v>33</v>
      </c>
    </row>
    <row r="21" spans="1:21" s="3" customFormat="1" ht="12.95" customHeight="1" x14ac:dyDescent="0.2">
      <c r="A21" s="3" t="str">
        <f>D$7</f>
        <v>IBVS 5681</v>
      </c>
      <c r="C21" s="10">
        <f>C$7</f>
        <v>52734.942999999999</v>
      </c>
      <c r="D21" s="10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2.9487242163011962E-2</v>
      </c>
      <c r="Q21" s="28">
        <f>+C21-15018.5</f>
        <v>37716.442999999999</v>
      </c>
    </row>
    <row r="22" spans="1:21" s="3" customFormat="1" ht="12.95" customHeight="1" x14ac:dyDescent="0.2">
      <c r="A22" s="29" t="s">
        <v>42</v>
      </c>
      <c r="B22" s="30" t="s">
        <v>43</v>
      </c>
      <c r="C22" s="31">
        <v>55832.316220000001</v>
      </c>
      <c r="D22" s="31">
        <v>2.9999999999999997E-4</v>
      </c>
      <c r="E22" s="3">
        <f>+(C22-C$7)/C$8</f>
        <v>371.99428564565738</v>
      </c>
      <c r="F22" s="3">
        <f>ROUND(2*E22,0)/2</f>
        <v>372</v>
      </c>
      <c r="G22" s="3">
        <f>+C22-(C$7+F22*C$8)</f>
        <v>-4.7579999998561107E-2</v>
      </c>
      <c r="K22" s="3">
        <f>+G22</f>
        <v>-4.7579999998561107E-2</v>
      </c>
      <c r="O22" s="3">
        <f ca="1">+C$11+C$12*$F22</f>
        <v>-0.2918162956038135</v>
      </c>
      <c r="Q22" s="28">
        <f>+C22-15018.5</f>
        <v>40813.816220000001</v>
      </c>
    </row>
    <row r="23" spans="1:21" s="3" customFormat="1" ht="12.95" customHeight="1" x14ac:dyDescent="0.2">
      <c r="A23" s="32" t="s">
        <v>50</v>
      </c>
      <c r="B23" s="33" t="s">
        <v>49</v>
      </c>
      <c r="C23" s="34">
        <v>56826.366999999998</v>
      </c>
      <c r="D23" s="34"/>
      <c r="E23" s="3">
        <f>+(C23-C$7)/C$8</f>
        <v>491.37970791698683</v>
      </c>
      <c r="F23" s="3">
        <f>ROUND(2*E23,0)/2</f>
        <v>491.5</v>
      </c>
      <c r="G23" s="3">
        <f>+C23-(C$7+F23*C$8)</f>
        <v>-1.0016000000032363</v>
      </c>
      <c r="K23" s="3">
        <f>+G23</f>
        <v>-1.0016000000032363</v>
      </c>
      <c r="O23" s="3">
        <f ca="1">+C$11+C$12*$F23</f>
        <v>-0.39503073851546849</v>
      </c>
      <c r="Q23" s="28">
        <f>+C23-15018.5</f>
        <v>41807.866999999998</v>
      </c>
    </row>
    <row r="24" spans="1:21" s="3" customFormat="1" ht="12.95" customHeight="1" x14ac:dyDescent="0.2">
      <c r="A24" s="32" t="s">
        <v>50</v>
      </c>
      <c r="B24" s="33" t="s">
        <v>43</v>
      </c>
      <c r="C24" s="34">
        <v>57139.572999999997</v>
      </c>
      <c r="D24" s="34"/>
      <c r="E24" s="3">
        <f>+(C24-C$7)/C$8</f>
        <v>528.9957244427361</v>
      </c>
      <c r="F24" s="3">
        <f>ROUND(2*E24,0)/2</f>
        <v>529</v>
      </c>
      <c r="G24" s="3">
        <f>+C24-(C$7+F24*C$8)</f>
        <v>-3.56000000028871E-2</v>
      </c>
      <c r="K24" s="3">
        <f>+G24</f>
        <v>-3.56000000028871E-2</v>
      </c>
      <c r="O24" s="3">
        <f ca="1">+C$11+C$12*$F24</f>
        <v>-0.42742020804841457</v>
      </c>
      <c r="Q24" s="28">
        <f>+C24-15018.5</f>
        <v>42121.072999999997</v>
      </c>
    </row>
    <row r="25" spans="1:21" s="3" customFormat="1" ht="12.95" customHeight="1" x14ac:dyDescent="0.2">
      <c r="C25" s="10"/>
      <c r="D25" s="10"/>
      <c r="Q25" s="28"/>
    </row>
    <row r="26" spans="1:21" s="3" customFormat="1" ht="12.95" customHeight="1" x14ac:dyDescent="0.2">
      <c r="C26" s="10"/>
      <c r="D26" s="10"/>
      <c r="Q26" s="28"/>
    </row>
    <row r="27" spans="1:21" s="3" customFormat="1" ht="12.95" customHeight="1" x14ac:dyDescent="0.2">
      <c r="C27" s="10"/>
      <c r="D27" s="10"/>
      <c r="Q27" s="28"/>
    </row>
    <row r="28" spans="1:21" s="3" customFormat="1" ht="12.95" customHeight="1" x14ac:dyDescent="0.2">
      <c r="C28" s="10"/>
      <c r="D28" s="10"/>
      <c r="Q28" s="28"/>
    </row>
    <row r="29" spans="1:21" s="3" customFormat="1" ht="12.95" customHeight="1" x14ac:dyDescent="0.2">
      <c r="C29" s="10"/>
      <c r="D29" s="10"/>
      <c r="Q29" s="28"/>
    </row>
    <row r="30" spans="1:21" s="3" customFormat="1" ht="12.95" customHeight="1" x14ac:dyDescent="0.2">
      <c r="C30" s="10"/>
      <c r="D30" s="10"/>
      <c r="Q30" s="28"/>
    </row>
    <row r="31" spans="1:21" s="3" customFormat="1" ht="12.95" customHeight="1" x14ac:dyDescent="0.2">
      <c r="C31" s="10"/>
      <c r="D31" s="10"/>
      <c r="Q31" s="28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2024-03-06T06:38:04Z</dcterms:modified>
</cp:coreProperties>
</file>