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824C3A9-762C-43EF-AF49-7073BBDE79A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2" i="1"/>
  <c r="F22" i="1"/>
  <c r="G22" i="1"/>
  <c r="K22" i="1"/>
  <c r="C9" i="1"/>
  <c r="E21" i="1"/>
  <c r="F21" i="1"/>
  <c r="G21" i="1"/>
  <c r="I21" i="1"/>
  <c r="D9" i="1"/>
  <c r="D8" i="1"/>
  <c r="F16" i="1"/>
  <c r="C17" i="1"/>
  <c r="Q21" i="1"/>
  <c r="C12" i="1"/>
  <c r="C11" i="1"/>
  <c r="C15" i="1" l="1"/>
  <c r="F18" i="1" s="1"/>
  <c r="O21" i="1"/>
  <c r="O22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<sst xmlns="http://schemas.openxmlformats.org/spreadsheetml/2006/main" count="54" uniqueCount="50">
  <si>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</si>
  <si>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</si>
  <si>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</si>
  <si>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</si>
  <si>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</si>
  <si>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</si>
  <si>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</si>
  <si>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</si>
  <si>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</si>
  <si>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</si>
  <si>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</si>
  <si>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</si>
  <si>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</si>
  <si>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</si>
  <si>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</si>
  <si>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</si>
  <si>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</si>
  <si>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</si>
  <si>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</si>
  <si>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</si>
  <si>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</si>
  <si>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</si>
  <si>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</si>
  <si>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</si>
  <si>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</si>
  <si>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</si>
  <si>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</si>
  <si>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</si>
  <si>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</si>
  <si>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</si>
  <si>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</si>
  <si>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</si>
  <si>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</si>
  <si>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</si>
  <si>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</si>
  <si>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</si>
  <si>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</si>
  <si>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</si>
  <si>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</si>
  <si>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</si>
  <si>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</si>
  <si>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V0573 Sgr</t>
  </si>
  <si>
    <t>V0573 SGr</t>
  </si>
  <si>
    <t>EB</t>
  </si>
  <si>
    <t>pr_0</t>
  </si>
  <si>
    <t>~</t>
  </si>
  <si>
    <t>V0573 Sgr / GSC na</t>
  </si>
  <si>
    <t>GCVS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</si>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</sst>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6" fillId="24" borderId="5" xfId="0" applyFont="1" applyFill="1" applyBorder="1" applyAlignment="1">
      <alignment horizontal="left" vertical="center"/>
    </xf>
    <xf numFmtId="0" fontId="15" fillId="25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25" borderId="5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41" applyFont="1" applyAlignment="1">
      <alignment vertical="center"/>
    </xf>
    <xf numFmtId="0" fontId="17" fillId="0" borderId="0" xfId="41" applyFont="1" applyAlignment="1">
      <alignment horizontal="center" vertical="center"/>
    </xf>
    <xf numFmtId="0" fontId="17" fillId="0" borderId="0" xfId="41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5" xfId="0" quotePrefix="1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V0573 Sgr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29828.5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82-4AF0-8AC8-59D0C3C9CFD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29828.5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82-4AF0-8AC8-59D0C3C9CFD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29828.5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82-4AF0-8AC8-59D0C3C9CFD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29828.5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0.23904400000174064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82-4AF0-8AC8-59D0C3C9CFD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29828.5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82-4AF0-8AC8-59D0C3C9CFD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29828.5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82-4AF0-8AC8-59D0C3C9CFD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29828.5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82-4AF0-8AC8-59D0C3C9CFD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29828.5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1.3877787807814457E-17</c:v>
                </c:pt>
                <c:pt idx="1">
                  <c:v>0.23904400000174064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82-4AF0-8AC8-59D0C3C9CFD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29828.5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E82-4AF0-8AC8-59D0C3C9C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366944"/>
        <c:axId val="1"/>
      </c:scatterChart>
      <c:valAx>
        <c:axId val="559366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366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490B126-397E-4AE8-8E92-4C53D8C9D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s="14" customFormat="1" ht="20.25" x14ac:dyDescent="0.2">
      <c r="A1" s="44" t="s">
        <v>46</v>
      </c>
      <c r="F1" s="5" t="s">
        <v>41</v>
      </c>
      <c r="G1" s="3">
        <v>0</v>
      </c>
      <c r="H1" s="6"/>
      <c r="I1" s="7" t="s">
        <v>13</v>
      </c>
      <c r="J1" s="8" t="s">
        <v>42</v>
      </c>
      <c r="K1" s="9">
        <v>18.033429999999999</v>
      </c>
      <c r="L1" s="10">
        <v>-35.57</v>
      </c>
      <c r="M1" s="4">
        <v>28401.276999999998</v>
      </c>
      <c r="N1" s="4">
        <v>0.97705600000000004</v>
      </c>
      <c r="O1" s="11" t="s">
        <v>43</v>
      </c>
      <c r="P1" s="12">
        <v>12.2</v>
      </c>
      <c r="Q1" s="12">
        <v>12.8</v>
      </c>
      <c r="R1" s="13" t="s">
        <v>44</v>
      </c>
      <c r="S1" s="45" t="s">
        <v>45</v>
      </c>
    </row>
    <row r="2" spans="1:19" s="14" customFormat="1" ht="12.95" customHeight="1" x14ac:dyDescent="0.2">
      <c r="A2" s="14" t="s">
        <v>23</v>
      </c>
      <c r="B2" s="14" t="s">
        <v>43</v>
      </c>
      <c r="C2" s="15"/>
      <c r="D2" s="16"/>
    </row>
    <row r="3" spans="1:19" s="14" customFormat="1" ht="12.95" customHeight="1" thickBot="1" x14ac:dyDescent="0.25"/>
    <row r="4" spans="1:19" s="14" customFormat="1" ht="12.95" customHeight="1" thickTop="1" thickBot="1" x14ac:dyDescent="0.25">
      <c r="A4" s="17" t="s">
        <v>0</v>
      </c>
      <c r="C4" s="18">
        <v>28401.276999999998</v>
      </c>
      <c r="D4" s="19">
        <v>0.97705600000000004</v>
      </c>
    </row>
    <row r="5" spans="1:19" s="14" customFormat="1" ht="12.95" customHeight="1" thickTop="1" x14ac:dyDescent="0.2">
      <c r="A5" s="20" t="s">
        <v>28</v>
      </c>
      <c r="C5" s="21">
        <v>-9.5</v>
      </c>
      <c r="D5" s="14" t="s">
        <v>29</v>
      </c>
    </row>
    <row r="6" spans="1:19" s="14" customFormat="1" ht="12.95" customHeight="1" x14ac:dyDescent="0.2">
      <c r="A6" s="17" t="s">
        <v>1</v>
      </c>
    </row>
    <row r="7" spans="1:19" s="14" customFormat="1" ht="12.95" customHeight="1" x14ac:dyDescent="0.2">
      <c r="A7" s="14" t="s">
        <v>2</v>
      </c>
      <c r="C7" s="46">
        <v>28401.276999999998</v>
      </c>
      <c r="D7" s="23" t="s">
        <v>47</v>
      </c>
    </row>
    <row r="8" spans="1:19" s="14" customFormat="1" ht="12.95" customHeight="1" x14ac:dyDescent="0.2">
      <c r="A8" s="14" t="s">
        <v>3</v>
      </c>
      <c r="C8" s="46">
        <f>N1</f>
        <v>0.97705600000000004</v>
      </c>
      <c r="D8" s="23" t="str">
        <f>D7</f>
        <v>GCVS</v>
      </c>
    </row>
    <row r="9" spans="1:19" s="14" customFormat="1" ht="12.95" customHeight="1" x14ac:dyDescent="0.2">
      <c r="A9" s="24" t="s">
        <v>32</v>
      </c>
      <c r="B9" s="25">
        <v>21</v>
      </c>
      <c r="C9" s="26" t="str">
        <f>"F"&amp;B9</f>
        <v>F21</v>
      </c>
      <c r="D9" s="27" t="str">
        <f>"G"&amp;B9</f>
        <v>G21</v>
      </c>
    </row>
    <row r="10" spans="1:19" s="14" customFormat="1" ht="12.95" customHeight="1" thickBot="1" x14ac:dyDescent="0.25">
      <c r="C10" s="28" t="s">
        <v>19</v>
      </c>
      <c r="D10" s="28" t="s">
        <v>20</v>
      </c>
    </row>
    <row r="11" spans="1:19" s="14" customFormat="1" ht="12.95" customHeight="1" x14ac:dyDescent="0.2">
      <c r="A11" s="14" t="s">
        <v>15</v>
      </c>
      <c r="C11" s="27">
        <f ca="1">INTERCEPT(INDIRECT($D$9):G992,INDIRECT($C$9):F992)</f>
        <v>1.3877787807814457E-17</v>
      </c>
      <c r="D11" s="16"/>
    </row>
    <row r="12" spans="1:19" s="14" customFormat="1" ht="12.95" customHeight="1" x14ac:dyDescent="0.2">
      <c r="A12" s="14" t="s">
        <v>16</v>
      </c>
      <c r="C12" s="27">
        <f ca="1">SLOPE(INDIRECT($D$9):G992,INDIRECT($C$9):F992)</f>
        <v>8.0139463936081473E-6</v>
      </c>
      <c r="D12" s="16"/>
    </row>
    <row r="13" spans="1:19" s="14" customFormat="1" ht="12.95" customHeight="1" x14ac:dyDescent="0.2">
      <c r="A13" s="14" t="s">
        <v>18</v>
      </c>
      <c r="C13" s="16" t="s">
        <v>13</v>
      </c>
    </row>
    <row r="14" spans="1:19" s="14" customFormat="1" ht="12.95" customHeight="1" x14ac:dyDescent="0.2"/>
    <row r="15" spans="1:19" s="14" customFormat="1" ht="12.95" customHeight="1" x14ac:dyDescent="0.2">
      <c r="A15" s="29" t="s">
        <v>17</v>
      </c>
      <c r="C15" s="30">
        <f ca="1">(C7+C11)+(C8+C12)*INT(MAX(F21:F3533))</f>
        <v>57545.142407993029</v>
      </c>
      <c r="E15" s="31" t="s">
        <v>34</v>
      </c>
      <c r="F15" s="25">
        <v>1</v>
      </c>
    </row>
    <row r="16" spans="1:19" s="14" customFormat="1" ht="12.95" customHeight="1" x14ac:dyDescent="0.2">
      <c r="A16" s="17" t="s">
        <v>4</v>
      </c>
      <c r="C16" s="32">
        <f ca="1">+C8+C12</f>
        <v>0.97706401394639364</v>
      </c>
      <c r="E16" s="31" t="s">
        <v>30</v>
      </c>
      <c r="F16" s="32">
        <f ca="1">NOW()+15018.5+$C$5/24</f>
        <v>60375.834528587962</v>
      </c>
    </row>
    <row r="17" spans="1:21" s="14" customFormat="1" ht="12.95" customHeight="1" thickBot="1" x14ac:dyDescent="0.25">
      <c r="A17" s="31" t="s">
        <v>27</v>
      </c>
      <c r="C17" s="14">
        <f>COUNT(C21:C2191)</f>
        <v>2</v>
      </c>
      <c r="E17" s="31" t="s">
        <v>35</v>
      </c>
      <c r="F17" s="33">
        <f ca="1">ROUND(2*(F16-$C$7)/$C$8,0)/2+F15</f>
        <v>32726.5</v>
      </c>
    </row>
    <row r="18" spans="1:21" s="14" customFormat="1" ht="12.95" customHeight="1" thickTop="1" thickBot="1" x14ac:dyDescent="0.25">
      <c r="A18" s="17" t="s">
        <v>5</v>
      </c>
      <c r="C18" s="34">
        <f ca="1">+C15</f>
        <v>57545.142407993029</v>
      </c>
      <c r="D18" s="35">
        <f ca="1">+C16</f>
        <v>0.97706401394639364</v>
      </c>
      <c r="E18" s="31" t="s">
        <v>36</v>
      </c>
      <c r="F18" s="27">
        <f ca="1">ROUND(2*(F16-$C$15)/$C$16,0)/2+F15</f>
        <v>2898</v>
      </c>
    </row>
    <row r="19" spans="1:21" s="14" customFormat="1" ht="12.95" customHeight="1" thickTop="1" x14ac:dyDescent="0.2">
      <c r="E19" s="31" t="s">
        <v>31</v>
      </c>
      <c r="F19" s="36">
        <f ca="1">+$C$15+$C$16*F18-15018.5-$C$5/24</f>
        <v>45358.569753743017</v>
      </c>
    </row>
    <row r="20" spans="1:21" s="14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7" t="s">
        <v>37</v>
      </c>
      <c r="I20" s="37" t="s">
        <v>38</v>
      </c>
      <c r="J20" s="37" t="s">
        <v>39</v>
      </c>
      <c r="K20" s="37" t="s">
        <v>40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8" t="s">
        <v>14</v>
      </c>
      <c r="U20" s="39" t="s">
        <v>33</v>
      </c>
    </row>
    <row r="21" spans="1:21" s="14" customFormat="1" ht="12.95" customHeight="1" x14ac:dyDescent="0.2">
      <c r="A21" s="14" t="s">
        <v>47</v>
      </c>
      <c r="C21" s="22">
        <v>28401.276999999998</v>
      </c>
      <c r="D21" s="22" t="s">
        <v>13</v>
      </c>
      <c r="E21" s="14">
        <f>+(C21-C$7)/C$8</f>
        <v>0</v>
      </c>
      <c r="F21" s="14">
        <f>ROUND(2*E21,0)/2</f>
        <v>0</v>
      </c>
      <c r="G21" s="14">
        <f>+C21-(C$7+F21*C$8)</f>
        <v>0</v>
      </c>
      <c r="I21" s="14">
        <f>+G21</f>
        <v>0</v>
      </c>
      <c r="O21" s="14">
        <f ca="1">+C$11+C$12*$F21</f>
        <v>1.3877787807814457E-17</v>
      </c>
      <c r="Q21" s="40">
        <f>+C21-15018.5</f>
        <v>13382.776999999998</v>
      </c>
    </row>
    <row r="22" spans="1:21" s="14" customFormat="1" ht="12.95" customHeight="1" x14ac:dyDescent="0.2">
      <c r="A22" s="41" t="s">
        <v>49</v>
      </c>
      <c r="B22" s="42" t="s">
        <v>48</v>
      </c>
      <c r="C22" s="43">
        <v>57545.630940000003</v>
      </c>
      <c r="D22" s="43">
        <v>6.9999999999999999E-4</v>
      </c>
      <c r="E22" s="14">
        <f>+(C22-C$7)/C$8</f>
        <v>29828.744657419844</v>
      </c>
      <c r="F22" s="14">
        <f>ROUND(2*E22,0)/2</f>
        <v>29828.5</v>
      </c>
      <c r="G22" s="14">
        <f>+C22-(C$7+F22*C$8)</f>
        <v>0.23904400000174064</v>
      </c>
      <c r="K22" s="14">
        <f>+G22</f>
        <v>0.23904400000174064</v>
      </c>
      <c r="O22" s="14">
        <f ca="1">+C$11+C$12*$F22</f>
        <v>0.23904400000174064</v>
      </c>
      <c r="Q22" s="40">
        <f>+C22-15018.5</f>
        <v>42527.130940000003</v>
      </c>
    </row>
    <row r="23" spans="1:21" s="14" customFormat="1" ht="12.95" customHeight="1" x14ac:dyDescent="0.2">
      <c r="C23" s="22"/>
      <c r="D23" s="22"/>
      <c r="Q23" s="40"/>
    </row>
    <row r="24" spans="1:21" s="14" customFormat="1" ht="12.95" customHeight="1" x14ac:dyDescent="0.2">
      <c r="C24" s="22"/>
      <c r="D24" s="22"/>
      <c r="Q24" s="40"/>
    </row>
    <row r="25" spans="1:21" s="14" customFormat="1" ht="12.95" customHeight="1" x14ac:dyDescent="0.2">
      <c r="C25" s="22"/>
      <c r="D25" s="22"/>
      <c r="Q25" s="40"/>
    </row>
    <row r="26" spans="1:21" s="14" customFormat="1" ht="12.95" customHeight="1" x14ac:dyDescent="0.2">
      <c r="C26" s="22"/>
      <c r="D26" s="22"/>
      <c r="Q26" s="40"/>
    </row>
    <row r="27" spans="1:21" s="14" customFormat="1" ht="12.95" customHeight="1" x14ac:dyDescent="0.2">
      <c r="C27" s="22"/>
      <c r="D27" s="22"/>
      <c r="Q27" s="40"/>
    </row>
    <row r="28" spans="1:21" s="14" customFormat="1" ht="12.95" customHeight="1" x14ac:dyDescent="0.2">
      <c r="C28" s="22"/>
      <c r="D28" s="22"/>
      <c r="Q28" s="40"/>
    </row>
    <row r="29" spans="1:21" x14ac:dyDescent="0.2">
      <c r="C29" s="2"/>
      <c r="D29" s="2"/>
      <c r="Q29" s="1"/>
    </row>
    <row r="30" spans="1:21" x14ac:dyDescent="0.2">
      <c r="C30" s="2"/>
      <c r="D30" s="2"/>
      <c r="Q30" s="1"/>
    </row>
    <row r="31" spans="1:21" x14ac:dyDescent="0.2">
      <c r="C31" s="2"/>
      <c r="D31" s="2"/>
      <c r="Q31" s="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2024-03-06T07:01:43Z</dcterms:modified>
</cp:coreProperties>
</file>