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7F8F91-4F86-44DF-AF99-181B89CA5143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27" i="1" l="1"/>
  <c r="E26" i="1"/>
  <c r="F26" i="1" s="1"/>
  <c r="G26" i="1" s="1"/>
  <c r="C13" i="1"/>
  <c r="Q28" i="1"/>
  <c r="Q26" i="1"/>
  <c r="Q25" i="1"/>
  <c r="D14" i="1"/>
  <c r="D13" i="1"/>
  <c r="C14" i="1"/>
  <c r="C17" i="1"/>
  <c r="F12" i="1"/>
  <c r="F13" i="1" s="1"/>
  <c r="C7" i="1"/>
  <c r="E27" i="1"/>
  <c r="F27" i="1"/>
  <c r="G27" i="1" s="1"/>
  <c r="C8" i="1"/>
  <c r="E23" i="1"/>
  <c r="F23" i="1" s="1"/>
  <c r="G23" i="1" s="1"/>
  <c r="Q23" i="1"/>
  <c r="Q24" i="1"/>
  <c r="Q22" i="1"/>
  <c r="Q21" i="1"/>
  <c r="E22" i="1"/>
  <c r="F22" i="1"/>
  <c r="G22" i="1" s="1"/>
  <c r="E28" i="1"/>
  <c r="F28" i="1"/>
  <c r="G28" i="1" s="1"/>
  <c r="E25" i="1"/>
  <c r="F25" i="1"/>
  <c r="G25" i="1" s="1"/>
  <c r="E21" i="1"/>
  <c r="F21" i="1"/>
  <c r="E24" i="1"/>
  <c r="F24" i="1"/>
  <c r="G24" i="1"/>
  <c r="S24" i="1" s="1"/>
  <c r="G21" i="1"/>
  <c r="K21" i="1"/>
  <c r="R21" i="1"/>
  <c r="H28" i="1" l="1"/>
  <c r="R28" i="1"/>
  <c r="R27" i="1"/>
  <c r="K27" i="1"/>
  <c r="S23" i="1"/>
  <c r="H23" i="1"/>
  <c r="S22" i="1"/>
  <c r="K22" i="1"/>
  <c r="H25" i="1"/>
  <c r="S25" i="1"/>
  <c r="H26" i="1"/>
  <c r="R26" i="1"/>
  <c r="H24" i="1"/>
  <c r="C11" i="1"/>
  <c r="D11" i="1"/>
  <c r="D12" i="1"/>
  <c r="C12" i="1"/>
  <c r="D16" i="1" l="1"/>
  <c r="D19" i="1" s="1"/>
  <c r="P21" i="1"/>
  <c r="P25" i="1"/>
  <c r="P22" i="1"/>
  <c r="D15" i="1"/>
  <c r="C19" i="1" s="1"/>
  <c r="P24" i="1"/>
  <c r="P23" i="1"/>
  <c r="P27" i="1"/>
  <c r="P26" i="1"/>
  <c r="P28" i="1"/>
  <c r="O23" i="1"/>
  <c r="O27" i="1"/>
  <c r="O24" i="1"/>
  <c r="O22" i="1"/>
  <c r="O28" i="1"/>
  <c r="O25" i="1"/>
  <c r="O21" i="1"/>
  <c r="O26" i="1"/>
  <c r="S19" i="1"/>
  <c r="E19" i="1" s="1"/>
  <c r="R19" i="1"/>
  <c r="E18" i="1" s="1"/>
  <c r="C16" i="1"/>
  <c r="D18" i="1" s="1"/>
  <c r="C15" i="1"/>
  <c r="C18" i="1" l="1"/>
  <c r="F14" i="1"/>
  <c r="F15" i="1" s="1"/>
</calcChain>
</file>

<file path=xl/sharedStrings.xml><?xml version="1.0" encoding="utf-8"?>
<sst xmlns="http://schemas.openxmlformats.org/spreadsheetml/2006/main" count="67" uniqueCount="55">
  <si>
    <t>JAVSO..44…26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</si>
  <si>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</si>
  <si>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</si>
  <si>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</si>
  <si>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</si>
  <si>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</si>
  <si>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</si>
  <si>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</si>
  <si>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</si>
  <si>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</si>
  <si>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</si>
  <si>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</si>
  <si>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</si>
  <si>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</si>
  <si>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</si>
  <si>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</si>
  <si>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</si>
  <si>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</si>
  <si>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</si>
  <si>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</si>
  <si>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</si>
  <si>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</si>
  <si>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 xml:space="preserve">EA        </t>
  </si>
  <si>
    <t>Kreiner Eph.</t>
  </si>
  <si>
    <t>I</t>
  </si>
  <si>
    <t>II</t>
  </si>
  <si>
    <t>J.M. Kreiner, 2004, Acta Astronomica, vol. 54, pp 207-210.</t>
  </si>
  <si>
    <t>Ref only</t>
  </si>
  <si>
    <t>Kreiner 1</t>
  </si>
  <si>
    <t>Kreiner 2</t>
  </si>
  <si>
    <t xml:space="preserve">V1647 Sgr / GSC 7390-1395               </t>
  </si>
  <si>
    <t>IBVS 5843</t>
  </si>
  <si>
    <t>IBVS 5931</t>
  </si>
  <si>
    <t>My time zone &gt;&gt;&gt;&gt;&gt;</t>
  </si>
  <si>
    <t>(PST=8, PDT=MDT=7, MDT=CST=6, etc.)</t>
  </si>
  <si>
    <t>Start of Lin fit (row)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</si>
  <si>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</si>
  <si>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</si>
  <si>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</si>
  <si>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</si>
  <si>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</si>
  <si>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</si>
  <si>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</si>
  <si>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</si>
  <si>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</si>
  <si>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</si>
  <si>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</si>
  <si>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</si>
  <si>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</si>
  <si>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OEJV 0130</t>
  </si>
  <si>
    <t>OEJV 0181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</si>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</sst>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6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9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V1647 Sgr - O-C Diagr.</a:t>
            </a:r>
          </a:p>
        </c:rich>
      </c:tx>
      <c:layout>
        <c:manualLayout>
          <c:xMode val="edge"/>
          <c:yMode val="edge"/>
          <c:x val="0.3596774193548387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225806451612903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52502.020799999998</c:v>
                  </c:pt>
                  <c:pt idx="1">
                    <c:v>52503.016600000003</c:v>
                  </c:pt>
                  <c:pt idx="2">
                    <c:v>53809.580800000003</c:v>
                  </c:pt>
                  <c:pt idx="3">
                    <c:v>53983.571300000003</c:v>
                  </c:pt>
                  <c:pt idx="4">
                    <c:v>55385.338000000003</c:v>
                  </c:pt>
                  <c:pt idx="5">
                    <c:v>56162.32</c:v>
                  </c:pt>
                  <c:pt idx="6">
                    <c:v>57248.922400000003</c:v>
                  </c:pt>
                  <c:pt idx="7">
                    <c:v>57501.696000000004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52502.020799999998</c:v>
                  </c:pt>
                  <c:pt idx="1">
                    <c:v>52503.016600000003</c:v>
                  </c:pt>
                  <c:pt idx="2">
                    <c:v>53809.580800000003</c:v>
                  </c:pt>
                  <c:pt idx="3">
                    <c:v>53983.571300000003</c:v>
                  </c:pt>
                  <c:pt idx="4">
                    <c:v>55385.338000000003</c:v>
                  </c:pt>
                  <c:pt idx="5">
                    <c:v>56162.32</c:v>
                  </c:pt>
                  <c:pt idx="6">
                    <c:v>57248.922400000003</c:v>
                  </c:pt>
                  <c:pt idx="7">
                    <c:v>57501.696000000004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2">
                  <c:v>-0.62850744999741437</c:v>
                </c:pt>
                <c:pt idx="3">
                  <c:v>-0.62543754999205703</c:v>
                </c:pt>
                <c:pt idx="4">
                  <c:v>-0.60652344999834895</c:v>
                </c:pt>
                <c:pt idx="5">
                  <c:v>-2.3954999996931292E-3</c:v>
                </c:pt>
                <c:pt idx="7">
                  <c:v>-1.3290999922901392E-3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E8-4449-BB4F-4E61B55F0078}"/>
            </c:ext>
          </c:extLst>
        </c:ser>
        <c:ser>
          <c:idx val="1"/>
          <c:order val="1"/>
          <c:tx>
            <c:strRef>
              <c:f>'Active 1'!$I$20:$I$500</c:f>
              <c:strCache>
                <c:ptCount val="48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E8-4449-BB4F-4E61B55F00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E8-4449-BB4F-4E61B55F00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-0.64559084999928018</c:v>
                </c:pt>
                <c:pt idx="6">
                  <c:v>-7.3819999670377001E-4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E8-4449-BB4F-4E61B55F00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E8-4449-BB4F-4E61B55F00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E8-4449-BB4F-4E61B55F00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'Active 1'!$N$21:$N$21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E8-4449-BB4F-4E61B55F00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'Active 1'!$O$21:$O$21</c:f>
              <c:numCache>
                <c:formatCode>General</c:formatCode>
                <c:ptCount val="1"/>
                <c:pt idx="0">
                  <c:v>-2.8583023534816407E-4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E8-4449-BB4F-4E61B55F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5624"/>
        <c:axId val="1"/>
      </c:scatterChart>
      <c:valAx>
        <c:axId val="712425624"/>
        <c:scaling>
          <c:orientation val="minMax"/>
          <c:max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42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145141978098655"/>
          <c:w val="0.6887096774193548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V1647 Sgr - Prim. O-C Diagr.</a:t>
            </a:r>
          </a:p>
        </c:rich>
      </c:tx>
      <c:layout>
        <c:manualLayout>
          <c:xMode val="edge"/>
          <c:yMode val="edge"/>
          <c:x val="0.2744284926962092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6715254591726412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5">
                  <c:v>-2.3954999996931292E-3</c:v>
                </c:pt>
                <c:pt idx="6">
                  <c:v>-7.3819999670377001E-4</c:v>
                </c:pt>
                <c:pt idx="7">
                  <c:v>-1.3290999922901392E-3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D0-4B9C-84A9-A6B0AAEA797C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-2.8583023534816407E-4</c:v>
                </c:pt>
                <c:pt idx="1">
                  <c:v>-0.3231726362869986</c:v>
                </c:pt>
                <c:pt idx="2">
                  <c:v>-257.34107025340074</c:v>
                </c:pt>
                <c:pt idx="3">
                  <c:v>-291.56707169487566</c:v>
                </c:pt>
                <c:pt idx="4">
                  <c:v>-567.31240406298514</c:v>
                </c:pt>
                <c:pt idx="5">
                  <c:v>-720.03786332541586</c:v>
                </c:pt>
                <c:pt idx="6">
                  <c:v>-933.78892893160844</c:v>
                </c:pt>
                <c:pt idx="7">
                  <c:v>-983.51349706356257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D0-4B9C-84A9-A6B0AAEA7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970320"/>
        <c:axId val="1"/>
      </c:scatterChart>
      <c:valAx>
        <c:axId val="57597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97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121498449057504"/>
          <c:w val="0.3035345218022383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V1647 Sgr - Sec. O-C Diagr.</a:t>
            </a:r>
          </a:p>
        </c:rich>
      </c:tx>
      <c:layout>
        <c:manualLayout>
          <c:xMode val="edge"/>
          <c:yMode val="edge"/>
          <c:x val="0.2836736836466869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01531966242162"/>
          <c:w val="0.77142934015200504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-0.64559084999928018</c:v>
                </c:pt>
                <c:pt idx="2">
                  <c:v>-0.62850744999741437</c:v>
                </c:pt>
                <c:pt idx="3">
                  <c:v>-0.62543754999205703</c:v>
                </c:pt>
                <c:pt idx="4">
                  <c:v>-0.60652344999834895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BC-4B56-BAFE-1D39E2F25CF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398.5</c:v>
                </c:pt>
                <c:pt idx="3">
                  <c:v>451.5</c:v>
                </c:pt>
                <c:pt idx="4">
                  <c:v>878.5</c:v>
                </c:pt>
                <c:pt idx="5">
                  <c:v>1115</c:v>
                </c:pt>
                <c:pt idx="6">
                  <c:v>1446</c:v>
                </c:pt>
                <c:pt idx="7">
                  <c:v>1523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-0.64577361210330086</c:v>
                </c:pt>
                <c:pt idx="1">
                  <c:v>-0.64575133473244306</c:v>
                </c:pt>
                <c:pt idx="2">
                  <c:v>-0.62801854752967334</c:v>
                </c:pt>
                <c:pt idx="3">
                  <c:v>-0.62565714621875168</c:v>
                </c:pt>
                <c:pt idx="4">
                  <c:v>-0.60663227150623233</c:v>
                </c:pt>
                <c:pt idx="5">
                  <c:v>-0.59609507509051607</c:v>
                </c:pt>
                <c:pt idx="6">
                  <c:v>-0.58134745558268497</c:v>
                </c:pt>
                <c:pt idx="7">
                  <c:v>-0.57791674047059127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BC-4B56-BAFE-1D39E2F2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3104"/>
        <c:axId val="1"/>
      </c:scatterChart>
      <c:valAx>
        <c:axId val="71242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42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145141978098655"/>
          <c:w val="0.3306126734158230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18</xdr:col>
      <xdr:colOff>171450</xdr:colOff>
      <xdr:row>18</xdr:row>
      <xdr:rowOff>133350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5A81A0A-9295-A817-B59D-73B53E94E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37799-8013-1F04-7596-F41B704A6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123825</xdr:rowOff>
    </xdr:from>
    <xdr:to>
      <xdr:col>12</xdr:col>
      <xdr:colOff>238124</xdr:colOff>
      <xdr:row>43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63A4A7A-4AB3-DF88-3B42-DD60F08C5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1" customFormat="1" ht="20.25" x14ac:dyDescent="0.2">
      <c r="A1" s="45" t="s">
        <v>30</v>
      </c>
    </row>
    <row r="2" spans="1:6" s="11" customFormat="1" ht="12.95" customHeight="1" thickBot="1" x14ac:dyDescent="0.25">
      <c r="A2" s="11" t="s">
        <v>12</v>
      </c>
      <c r="B2" s="11" t="s">
        <v>22</v>
      </c>
    </row>
    <row r="3" spans="1:6" s="11" customFormat="1" ht="12.95" customHeight="1" thickTop="1" thickBot="1" x14ac:dyDescent="0.25">
      <c r="A3" s="12" t="s">
        <v>23</v>
      </c>
      <c r="B3" s="13" t="s">
        <v>24</v>
      </c>
      <c r="C3" s="14">
        <v>52502.020799999998</v>
      </c>
      <c r="D3" s="15">
        <v>3.2827817000000001</v>
      </c>
      <c r="E3" s="16" t="s">
        <v>26</v>
      </c>
    </row>
    <row r="4" spans="1:6" s="11" customFormat="1" ht="12.95" customHeight="1" thickTop="1" thickBot="1" x14ac:dyDescent="0.25">
      <c r="A4" s="12" t="s">
        <v>23</v>
      </c>
      <c r="B4" s="13" t="s">
        <v>25</v>
      </c>
      <c r="C4" s="14">
        <v>52503.016600000003</v>
      </c>
      <c r="D4" s="15">
        <v>3.2828241999999999</v>
      </c>
      <c r="E4" s="17" t="s">
        <v>27</v>
      </c>
    </row>
    <row r="5" spans="1:6" s="11" customFormat="1" ht="12.95" customHeight="1" thickTop="1" x14ac:dyDescent="0.2">
      <c r="A5" s="18" t="s">
        <v>33</v>
      </c>
      <c r="C5" s="19">
        <v>-9.5</v>
      </c>
      <c r="D5" s="11" t="s">
        <v>34</v>
      </c>
    </row>
    <row r="6" spans="1:6" s="11" customFormat="1" ht="12.95" customHeight="1" x14ac:dyDescent="0.2">
      <c r="A6" s="12" t="s">
        <v>1</v>
      </c>
    </row>
    <row r="7" spans="1:6" s="11" customFormat="1" ht="12.95" customHeight="1" x14ac:dyDescent="0.2">
      <c r="A7" s="11" t="s">
        <v>2</v>
      </c>
      <c r="C7" s="11">
        <f>C3</f>
        <v>52502.020799999998</v>
      </c>
    </row>
    <row r="8" spans="1:6" s="11" customFormat="1" ht="12.95" customHeight="1" x14ac:dyDescent="0.2">
      <c r="A8" s="11" t="s">
        <v>3</v>
      </c>
      <c r="C8" s="11">
        <f>D3</f>
        <v>3.2827817000000001</v>
      </c>
    </row>
    <row r="9" spans="1:6" s="11" customFormat="1" ht="12.95" customHeight="1" x14ac:dyDescent="0.2">
      <c r="A9" s="20" t="s">
        <v>35</v>
      </c>
      <c r="B9" s="20"/>
      <c r="C9" s="21">
        <v>21</v>
      </c>
      <c r="D9" s="21">
        <v>21</v>
      </c>
    </row>
    <row r="10" spans="1:6" s="11" customFormat="1" ht="12.95" customHeight="1" thickBot="1" x14ac:dyDescent="0.25">
      <c r="C10" s="22" t="s">
        <v>14</v>
      </c>
      <c r="D10" s="22" t="s">
        <v>15</v>
      </c>
    </row>
    <row r="11" spans="1:6" s="11" customFormat="1" ht="12.95" customHeight="1" x14ac:dyDescent="0.2">
      <c r="A11" s="11" t="s">
        <v>36</v>
      </c>
      <c r="C11" s="17">
        <f ca="1">INTERCEPT(INDIRECT(C14):R$935,INDIRECT(C13):$F$935)</f>
        <v>-2.8583023534816407E-4</v>
      </c>
      <c r="D11" s="17">
        <f ca="1">INTERCEPT(INDIRECT(D14):S$935,INDIRECT(D13):$F$935)</f>
        <v>-0.64577361210330086</v>
      </c>
      <c r="E11" s="20" t="s">
        <v>37</v>
      </c>
      <c r="F11" s="11">
        <v>1</v>
      </c>
    </row>
    <row r="12" spans="1:6" s="11" customFormat="1" ht="12.95" customHeight="1" x14ac:dyDescent="0.2">
      <c r="A12" s="11" t="s">
        <v>38</v>
      </c>
      <c r="C12" s="17">
        <f ca="1">SLOPE(INDIRECT(C14):R$935,INDIRECT(C13):$F$935)</f>
        <v>-8.1280094204073996E-7</v>
      </c>
      <c r="D12" s="17">
        <f ca="1">SLOPE(INDIRECT(D14):S$935,INDIRECT(D13):$F$935)</f>
        <v>4.455474171550202E-5</v>
      </c>
      <c r="E12" s="20" t="s">
        <v>39</v>
      </c>
      <c r="F12" s="23">
        <f ca="1">NOW()+15018.5+$C$5/24</f>
        <v>60376.683324537036</v>
      </c>
    </row>
    <row r="13" spans="1:6" s="11" customFormat="1" ht="12.95" customHeight="1" x14ac:dyDescent="0.2">
      <c r="A13" s="20" t="s">
        <v>40</v>
      </c>
      <c r="B13" s="20"/>
      <c r="C13" s="21" t="str">
        <f>"F"&amp;C9</f>
        <v>F21</v>
      </c>
      <c r="D13" s="21" t="str">
        <f>"F"&amp;D9</f>
        <v>F21</v>
      </c>
      <c r="E13" s="20" t="s">
        <v>41</v>
      </c>
      <c r="F13" s="23">
        <f ca="1">ROUND(2*(F12-$C$7)/$C$8,0)/2+F11</f>
        <v>2400</v>
      </c>
    </row>
    <row r="14" spans="1:6" s="11" customFormat="1" ht="12.95" customHeight="1" x14ac:dyDescent="0.2">
      <c r="A14" s="20" t="s">
        <v>42</v>
      </c>
      <c r="B14" s="20"/>
      <c r="C14" s="21" t="str">
        <f>"R"&amp;C9</f>
        <v>R21</v>
      </c>
      <c r="D14" s="21" t="str">
        <f>"S"&amp;D9</f>
        <v>S21</v>
      </c>
      <c r="E14" s="20" t="s">
        <v>43</v>
      </c>
      <c r="F14" s="17">
        <f ca="1">ROUND(2*(F12-$C$15)/$C$16,0)/2+F11</f>
        <v>877</v>
      </c>
    </row>
    <row r="15" spans="1:6" s="11" customFormat="1" ht="12.95" customHeight="1" x14ac:dyDescent="0.2">
      <c r="A15" s="24" t="s">
        <v>44</v>
      </c>
      <c r="C15" s="25">
        <f ca="1">($C7+C11)+($C8+C12)*INT(MAX($F21:$F3533))</f>
        <v>57501.695805373929</v>
      </c>
      <c r="D15" s="25">
        <f ca="1">($C7+D11)+($C8+D12)*INT(MAX($F21:$F3533))</f>
        <v>57501.119412359534</v>
      </c>
      <c r="E15" s="20" t="s">
        <v>45</v>
      </c>
      <c r="F15" s="26">
        <f ca="1">+$C$15+$C$16*F14-15018.5-$C$5/24</f>
        <v>45362.590476780839</v>
      </c>
    </row>
    <row r="16" spans="1:6" s="11" customFormat="1" ht="12.95" customHeight="1" x14ac:dyDescent="0.2">
      <c r="A16" s="12" t="s">
        <v>46</v>
      </c>
      <c r="C16" s="27">
        <f ca="1">+$C8+C12</f>
        <v>3.282780887199058</v>
      </c>
      <c r="D16" s="17">
        <f ca="1">+$C8+D12</f>
        <v>3.2828262547417157</v>
      </c>
      <c r="E16" s="28"/>
      <c r="F16" s="28" t="s">
        <v>47</v>
      </c>
    </row>
    <row r="17" spans="1:19" s="11" customFormat="1" ht="12.95" customHeight="1" thickBot="1" x14ac:dyDescent="0.25">
      <c r="A17" s="20" t="s">
        <v>48</v>
      </c>
      <c r="C17" s="11">
        <f>COUNT(C21:C1247)</f>
        <v>8</v>
      </c>
    </row>
    <row r="18" spans="1:19" s="11" customFormat="1" ht="12.95" customHeight="1" thickTop="1" thickBot="1" x14ac:dyDescent="0.25">
      <c r="A18" s="12" t="s">
        <v>17</v>
      </c>
      <c r="C18" s="29">
        <f ca="1">+C15</f>
        <v>57501.695805373929</v>
      </c>
      <c r="D18" s="30">
        <f ca="1">+C16</f>
        <v>3.282780887199058</v>
      </c>
      <c r="E18" s="31">
        <f>R19</f>
        <v>4</v>
      </c>
    </row>
    <row r="19" spans="1:19" s="11" customFormat="1" ht="12.95" customHeight="1" thickTop="1" thickBot="1" x14ac:dyDescent="0.25">
      <c r="A19" s="12" t="s">
        <v>18</v>
      </c>
      <c r="C19" s="29">
        <f ca="1">+D15</f>
        <v>57501.119412359534</v>
      </c>
      <c r="D19" s="30">
        <f ca="1">+D16</f>
        <v>3.2828262547417157</v>
      </c>
      <c r="E19" s="31">
        <f>S19</f>
        <v>4</v>
      </c>
      <c r="R19" s="11">
        <f>COUNT(R21:R322)</f>
        <v>4</v>
      </c>
      <c r="S19" s="11">
        <f>COUNT(S21:S322)</f>
        <v>4</v>
      </c>
    </row>
    <row r="20" spans="1:19" s="11" customFormat="1" ht="12.95" customHeight="1" thickTop="1" thickBot="1" x14ac:dyDescent="0.25">
      <c r="A20" s="22" t="s">
        <v>4</v>
      </c>
      <c r="B20" s="22" t="s">
        <v>5</v>
      </c>
      <c r="C20" s="22" t="s">
        <v>6</v>
      </c>
      <c r="D20" s="22" t="s">
        <v>10</v>
      </c>
      <c r="E20" s="22" t="s">
        <v>7</v>
      </c>
      <c r="F20" s="22" t="s">
        <v>8</v>
      </c>
      <c r="G20" s="22" t="s">
        <v>9</v>
      </c>
      <c r="H20" s="32" t="s">
        <v>51</v>
      </c>
      <c r="I20" s="32" t="s">
        <v>52</v>
      </c>
      <c r="J20" s="32" t="s">
        <v>53</v>
      </c>
      <c r="K20" s="32" t="s">
        <v>54</v>
      </c>
      <c r="L20" s="32" t="s">
        <v>21</v>
      </c>
      <c r="M20" s="32" t="s">
        <v>13</v>
      </c>
      <c r="N20" s="32" t="s">
        <v>16</v>
      </c>
      <c r="O20" s="32" t="s">
        <v>19</v>
      </c>
      <c r="P20" s="33" t="s">
        <v>20</v>
      </c>
      <c r="Q20" s="22" t="s">
        <v>11</v>
      </c>
      <c r="R20" s="34" t="s">
        <v>14</v>
      </c>
      <c r="S20" s="34" t="s">
        <v>15</v>
      </c>
    </row>
    <row r="21" spans="1:19" s="11" customFormat="1" ht="12.95" customHeight="1" x14ac:dyDescent="0.2">
      <c r="A21" s="7" t="s">
        <v>28</v>
      </c>
      <c r="B21" s="8" t="s">
        <v>24</v>
      </c>
      <c r="C21" s="7">
        <v>52502.020799999998</v>
      </c>
      <c r="D21" s="7"/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+C$11+D$11*$F21</f>
        <v>-2.8583023534816407E-4</v>
      </c>
      <c r="P21" s="11">
        <f ca="1">+D$11+D$12*$F21</f>
        <v>-0.64577361210330086</v>
      </c>
      <c r="Q21" s="35">
        <f>+C21-15018.5</f>
        <v>37483.520799999998</v>
      </c>
      <c r="R21" s="11">
        <f>G21</f>
        <v>0</v>
      </c>
    </row>
    <row r="22" spans="1:19" s="11" customFormat="1" ht="12.95" customHeight="1" x14ac:dyDescent="0.2">
      <c r="A22" s="7" t="s">
        <v>29</v>
      </c>
      <c r="B22" s="8" t="s">
        <v>25</v>
      </c>
      <c r="C22" s="7">
        <v>52503.016600000003</v>
      </c>
      <c r="D22" s="7"/>
      <c r="E22" s="11">
        <f>+(C22-C$7)/C$8</f>
        <v>0.30334030435354181</v>
      </c>
      <c r="F22" s="11">
        <f>ROUND(2*E22,0)/2</f>
        <v>0.5</v>
      </c>
      <c r="G22" s="11">
        <f>+C22-(C$7+F22*C$8)</f>
        <v>-0.64559084999928018</v>
      </c>
      <c r="K22" s="11">
        <f>+G22</f>
        <v>-0.64559084999928018</v>
      </c>
      <c r="O22" s="11">
        <f ca="1">+C$11+D$11*$F22</f>
        <v>-0.3231726362869986</v>
      </c>
      <c r="P22" s="11">
        <f ca="1">+D$11+D$12*$F22</f>
        <v>-0.64575133473244306</v>
      </c>
      <c r="Q22" s="35">
        <f>+C22-15018.5</f>
        <v>37484.516600000003</v>
      </c>
      <c r="S22" s="11">
        <f>G22</f>
        <v>-0.64559084999928018</v>
      </c>
    </row>
    <row r="23" spans="1:19" s="11" customFormat="1" ht="12.95" customHeight="1" x14ac:dyDescent="0.2">
      <c r="A23" s="7" t="s">
        <v>32</v>
      </c>
      <c r="B23" s="8" t="s">
        <v>25</v>
      </c>
      <c r="C23" s="7">
        <v>53809.580800000003</v>
      </c>
      <c r="D23" s="7">
        <v>4.0000000000000002E-4</v>
      </c>
      <c r="E23" s="11">
        <f>+(C23-C$7)/C$8</f>
        <v>398.30854424465838</v>
      </c>
      <c r="F23" s="11">
        <f>ROUND(2*E23,0)/2</f>
        <v>398.5</v>
      </c>
      <c r="G23" s="11">
        <f>+C23-(C$7+F23*C$8)</f>
        <v>-0.62850744999741437</v>
      </c>
      <c r="H23" s="11">
        <f>+G23</f>
        <v>-0.62850744999741437</v>
      </c>
      <c r="O23" s="11">
        <f ca="1">+C$11+D$11*$F23</f>
        <v>-257.34107025340074</v>
      </c>
      <c r="P23" s="11">
        <f ca="1">+D$11+D$12*$F23</f>
        <v>-0.62801854752967334</v>
      </c>
      <c r="Q23" s="35">
        <f>+C23-15018.5</f>
        <v>38791.080800000003</v>
      </c>
      <c r="S23" s="11">
        <f>G23</f>
        <v>-0.62850744999741437</v>
      </c>
    </row>
    <row r="24" spans="1:19" s="11" customFormat="1" ht="12.95" customHeight="1" x14ac:dyDescent="0.2">
      <c r="A24" s="36" t="s">
        <v>31</v>
      </c>
      <c r="B24" s="8" t="s">
        <v>25</v>
      </c>
      <c r="C24" s="7">
        <v>53983.571300000003</v>
      </c>
      <c r="D24" s="7">
        <v>1E-3</v>
      </c>
      <c r="E24" s="11">
        <f>+(C24-C$7)/C$8</f>
        <v>451.30947939669727</v>
      </c>
      <c r="F24" s="11">
        <f>ROUND(2*E24,0)/2</f>
        <v>451.5</v>
      </c>
      <c r="G24" s="11">
        <f>+C24-(C$7+F24*C$8)</f>
        <v>-0.62543754999205703</v>
      </c>
      <c r="H24" s="11">
        <f>+G24</f>
        <v>-0.62543754999205703</v>
      </c>
      <c r="O24" s="11">
        <f ca="1">+C$11+D$11*$F24</f>
        <v>-291.56707169487566</v>
      </c>
      <c r="P24" s="11">
        <f ca="1">+D$11+D$12*$F24</f>
        <v>-0.62565714621875168</v>
      </c>
      <c r="Q24" s="35">
        <f>+C24-15018.5</f>
        <v>38965.071300000003</v>
      </c>
      <c r="S24" s="11">
        <f>G24</f>
        <v>-0.62543754999205703</v>
      </c>
    </row>
    <row r="25" spans="1:19" s="11" customFormat="1" ht="12.95" customHeight="1" x14ac:dyDescent="0.2">
      <c r="A25" s="36" t="s">
        <v>49</v>
      </c>
      <c r="B25" s="8" t="s">
        <v>25</v>
      </c>
      <c r="C25" s="7">
        <v>55385.338000000003</v>
      </c>
      <c r="D25" s="7">
        <v>4.0000000000000001E-3</v>
      </c>
      <c r="E25" s="11">
        <f>+(C25-C$7)/C$8</f>
        <v>878.31524100429976</v>
      </c>
      <c r="F25" s="11">
        <f>ROUND(2*E25,0)/2</f>
        <v>878.5</v>
      </c>
      <c r="G25" s="11">
        <f>+C25-(C$7+F25*C$8)</f>
        <v>-0.60652344999834895</v>
      </c>
      <c r="H25" s="11">
        <f>+G25</f>
        <v>-0.60652344999834895</v>
      </c>
      <c r="O25" s="11">
        <f ca="1">+C$11+D$11*$F25</f>
        <v>-567.31240406298514</v>
      </c>
      <c r="P25" s="11">
        <f ca="1">+D$11+D$12*$F25</f>
        <v>-0.60663227150623233</v>
      </c>
      <c r="Q25" s="35">
        <f>+C25-15018.5</f>
        <v>40366.838000000003</v>
      </c>
      <c r="S25" s="11">
        <f>G25</f>
        <v>-0.60652344999834895</v>
      </c>
    </row>
    <row r="26" spans="1:19" s="11" customFormat="1" ht="12.95" customHeight="1" x14ac:dyDescent="0.2">
      <c r="A26" s="37" t="s">
        <v>50</v>
      </c>
      <c r="B26" s="38" t="s">
        <v>24</v>
      </c>
      <c r="C26" s="39">
        <v>56162.32</v>
      </c>
      <c r="D26" s="39">
        <v>0.01</v>
      </c>
      <c r="E26" s="11">
        <f>+(C26-C$7)/C$8</f>
        <v>1114.999270283492</v>
      </c>
      <c r="F26" s="11">
        <f>ROUND(2*E26,0)/2</f>
        <v>1115</v>
      </c>
      <c r="G26" s="11">
        <f>+C26-(C$7+F26*C$8)</f>
        <v>-2.3954999996931292E-3</v>
      </c>
      <c r="H26" s="11">
        <f>+G26</f>
        <v>-2.3954999996931292E-3</v>
      </c>
      <c r="O26" s="11">
        <f ca="1">+C$11+D$11*$F26</f>
        <v>-720.03786332541586</v>
      </c>
      <c r="P26" s="11">
        <f ca="1">+D$11+D$12*$F26</f>
        <v>-0.59609507509051607</v>
      </c>
      <c r="Q26" s="35">
        <f>+C26-15018.5</f>
        <v>41143.82</v>
      </c>
      <c r="R26" s="11">
        <f>G26</f>
        <v>-2.3954999996931292E-3</v>
      </c>
    </row>
    <row r="27" spans="1:19" s="11" customFormat="1" ht="12.95" customHeight="1" x14ac:dyDescent="0.2">
      <c r="A27" s="9" t="s">
        <v>0</v>
      </c>
      <c r="B27" s="10" t="s">
        <v>24</v>
      </c>
      <c r="C27" s="9">
        <v>57248.922400000003</v>
      </c>
      <c r="D27" s="9">
        <v>2.0000000000000001E-4</v>
      </c>
      <c r="E27" s="11">
        <f>+(C27-C$7)/C$8</f>
        <v>1445.9997751297335</v>
      </c>
      <c r="F27" s="11">
        <f>ROUND(2*E27,0)/2</f>
        <v>1446</v>
      </c>
      <c r="G27" s="11">
        <f>+C27-(C$7+F27*C$8)</f>
        <v>-7.3819999670377001E-4</v>
      </c>
      <c r="K27" s="11">
        <f>+G27</f>
        <v>-7.3819999670377001E-4</v>
      </c>
      <c r="O27" s="11">
        <f ca="1">+C$11+D$11*$F27</f>
        <v>-933.78892893160844</v>
      </c>
      <c r="P27" s="11">
        <f ca="1">+D$11+D$12*$F27</f>
        <v>-0.58134745558268497</v>
      </c>
      <c r="Q27" s="35">
        <f>+C27-15018.5</f>
        <v>42230.422400000003</v>
      </c>
      <c r="R27" s="11">
        <f>G27</f>
        <v>-7.3819999670377001E-4</v>
      </c>
    </row>
    <row r="28" spans="1:19" s="11" customFormat="1" ht="12.95" customHeight="1" x14ac:dyDescent="0.2">
      <c r="A28" s="37" t="s">
        <v>50</v>
      </c>
      <c r="B28" s="38" t="s">
        <v>24</v>
      </c>
      <c r="C28" s="39">
        <v>57501.696000000004</v>
      </c>
      <c r="D28" s="39">
        <v>2E-3</v>
      </c>
      <c r="E28" s="11">
        <f>+(C28-C$7)/C$8</f>
        <v>1522.9995951299488</v>
      </c>
      <c r="F28" s="11">
        <f>ROUND(2*E28,0)/2</f>
        <v>1523</v>
      </c>
      <c r="G28" s="11">
        <f>+C28-(C$7+F28*C$8)</f>
        <v>-1.3290999922901392E-3</v>
      </c>
      <c r="H28" s="11">
        <f>+G28</f>
        <v>-1.3290999922901392E-3</v>
      </c>
      <c r="O28" s="11">
        <f ca="1">+C$11+D$11*$F28</f>
        <v>-983.51349706356257</v>
      </c>
      <c r="P28" s="11">
        <f ca="1">+D$11+D$12*$F28</f>
        <v>-0.57791674047059127</v>
      </c>
      <c r="Q28" s="35">
        <f>+C28-15018.5</f>
        <v>42483.196000000004</v>
      </c>
      <c r="R28" s="11">
        <f>G28</f>
        <v>-1.3290999922901392E-3</v>
      </c>
    </row>
    <row r="29" spans="1:19" s="11" customFormat="1" ht="12.95" customHeight="1" x14ac:dyDescent="0.2">
      <c r="A29" s="5"/>
      <c r="B29" s="40"/>
      <c r="C29" s="41"/>
      <c r="D29" s="41"/>
      <c r="Q29" s="35"/>
    </row>
    <row r="30" spans="1:19" s="11" customFormat="1" ht="12.95" customHeight="1" x14ac:dyDescent="0.2">
      <c r="A30" s="36"/>
      <c r="B30" s="13"/>
      <c r="C30" s="42"/>
      <c r="D30" s="43"/>
      <c r="Q30" s="35"/>
    </row>
    <row r="31" spans="1:19" s="11" customFormat="1" ht="12.95" customHeight="1" x14ac:dyDescent="0.2">
      <c r="A31" s="5"/>
      <c r="B31" s="44"/>
      <c r="C31" s="42"/>
      <c r="D31" s="42"/>
      <c r="Q31" s="35"/>
    </row>
    <row r="32" spans="1:19" x14ac:dyDescent="0.2">
      <c r="A32" s="5"/>
      <c r="B32" s="6"/>
      <c r="C32" s="3"/>
      <c r="D32" s="3"/>
      <c r="Q32" s="1"/>
    </row>
    <row r="33" spans="1:17" x14ac:dyDescent="0.2">
      <c r="A33" s="7"/>
      <c r="B33" s="2"/>
      <c r="C33" s="3"/>
      <c r="D33" s="4"/>
      <c r="Q33" s="1"/>
    </row>
    <row r="34" spans="1:17" x14ac:dyDescent="0.2">
      <c r="A34" s="7"/>
      <c r="B34" s="2"/>
      <c r="C34" s="3"/>
      <c r="D34" s="4"/>
      <c r="Q34" s="1"/>
    </row>
    <row r="35" spans="1:17" x14ac:dyDescent="0.2">
      <c r="A35" s="7"/>
      <c r="B35" s="2"/>
      <c r="C35" s="3"/>
      <c r="D35" s="4"/>
      <c r="Q35" s="1"/>
    </row>
  </sheetData>
  <sortState xmlns:xlrd2="http://schemas.microsoft.com/office/spreadsheetml/2017/richdata2" ref="A21:V35">
    <sortCondition ref="C21:C35"/>
  </sortState>
  <phoneticPr fontId="8" type="noConversion"/>
  <hyperlinks>
    <hyperlink ref="H62840" r:id="rId1" display="http://vsolj.cetus-net.org/bulletin.html"/>
    <hyperlink ref="H62833" r:id="rId2" display="https://www.aavso.org/ejaavso"/>
    <hyperlink ref="I62840" r:id="rId3" display="http://vsolj.cetus-net.org/bulletin.html"/>
    <hyperlink ref="AQ56491" r:id="rId4" display="http://cdsbib.u-strasbg.fr/cgi-bin/cdsbib?1990RMxAA..21..381G"/>
    <hyperlink ref="H62837" r:id="rId5" display="https://www.aavso.org/ejaavso"/>
    <hyperlink ref="AP3855" r:id="rId6" display="http://cdsbib.u-strasbg.fr/cgi-bin/cdsbib?1990RMxAA..21..381G"/>
    <hyperlink ref="AP3858" r:id="rId7" display="http://cdsbib.u-strasbg.fr/cgi-bin/cdsbib?1990RMxAA..21..381G"/>
    <hyperlink ref="AP3856" r:id="rId8" display="http://cdsbib.u-strasbg.fr/cgi-bin/cdsbib?1990RMxAA..21..381G"/>
    <hyperlink ref="AP3840" r:id="rId9" display="http://cdsbib.u-strasbg.fr/cgi-bin/cdsbib?1990RMxAA..21..381G"/>
    <hyperlink ref="AQ4069" r:id="rId10" display="http://cdsbib.u-strasbg.fr/cgi-bin/cdsbib?1990RMxAA..21..381G"/>
    <hyperlink ref="AQ4073" r:id="rId11" display="http://cdsbib.u-strasbg.fr/cgi-bin/cdsbib?1990RMxAA..21..381G"/>
    <hyperlink ref="AQ63753" r:id="rId12" display="http://cdsbib.u-strasbg.fr/cgi-bin/cdsbib?1990RMxAA..21..381G"/>
    <hyperlink ref="I961" r:id="rId13" display="http://vsolj.cetus-net.org/bulletin.html"/>
    <hyperlink ref="H961" r:id="rId14" display="http://vsolj.cetus-net.org/bulletin.html"/>
    <hyperlink ref="AQ64414" r:id="rId15" display="http://cdsbib.u-strasbg.fr/cgi-bin/cdsbib?1990RMxAA..21..381G"/>
    <hyperlink ref="AQ64413" r:id="rId16" display="http://cdsbib.u-strasbg.fr/cgi-bin/cdsbib?1990RMxAA..21..381G"/>
    <hyperlink ref="AP2131" r:id="rId17" display="http://cdsbib.u-strasbg.fr/cgi-bin/cdsbib?1990RMxAA..21..381G"/>
    <hyperlink ref="AP2149" r:id="rId18" display="http://cdsbib.u-strasbg.fr/cgi-bin/cdsbib?1990RMxAA..21..381G"/>
    <hyperlink ref="AP2150" r:id="rId19" display="http://cdsbib.u-strasbg.fr/cgi-bin/cdsbib?1990RMxAA..21..381G"/>
    <hyperlink ref="AP214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2024-03-07T03:23:59Z</dcterms:modified>
</cp:coreProperties>
</file>