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D89A827-D31C-46BF-9639-8768A30AE79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Q23" i="1"/>
  <c r="C23" i="1"/>
  <c r="A23" i="1"/>
  <c r="E22" i="1"/>
  <c r="F22" i="1"/>
  <c r="G22" i="1" s="1"/>
  <c r="I22" i="1" s="1"/>
  <c r="Q22" i="1"/>
  <c r="G11" i="1"/>
  <c r="E21" i="1"/>
  <c r="F21" i="1" s="1"/>
  <c r="G21" i="1" s="1"/>
  <c r="H21" i="1" s="1"/>
  <c r="E14" i="1"/>
  <c r="E15" i="1" s="1"/>
  <c r="C17" i="1"/>
  <c r="Q21" i="1"/>
  <c r="C11" i="1"/>
  <c r="C12" i="1"/>
  <c r="O23" i="1" l="1"/>
  <c r="C16" i="1"/>
  <c r="D18" i="1" s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<sst xmlns="http://schemas.openxmlformats.org/spreadsheetml/2006/main" count="53" uniqueCount="50">
  <si>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</si>
  <si>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</si>
  <si>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</si>
  <si>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</si>
  <si>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</si>
  <si>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</si>
  <si>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</si>
  <si>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</si>
  <si>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</si>
  <si>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</si>
  <si>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</si>
  <si>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</si>
  <si>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</si>
  <si>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</si>
  <si>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</si>
  <si>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</si>
  <si>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</si>
  <si>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</si>
  <si>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</si>
  <si>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</si>
  <si>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</si>
  <si>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</si>
  <si>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</si>
  <si>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</si>
  <si>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</si>
  <si>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</si>
  <si>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</si>
  <si>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</si>
  <si>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</si>
  <si>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</si>
  <si>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</si>
  <si>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</si>
  <si>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</si>
  <si>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</si>
  <si>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</si>
  <si>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</si>
  <si>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</si>
  <si>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</si>
  <si>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</si>
  <si>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</si>
  <si>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</si>
  <si>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V5569 Sgr</t>
  </si>
  <si>
    <t xml:space="preserve">V5569 Sgr / GSC 867-0437 </t>
  </si>
  <si>
    <t xml:space="preserve">G6867-0437 </t>
  </si>
  <si>
    <t>EA</t>
  </si>
  <si>
    <t>F21</t>
  </si>
  <si>
    <t>OEJV 0003</t>
  </si>
  <si>
    <t>I</t>
  </si>
  <si>
    <t>VSX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</si>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</sst>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2">
    <xf numFmtId="0" fontId="0" fillId="0" borderId="0" xfId="0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V5569 Sgr - O-C Diagr.</a:t>
            </a:r>
          </a:p>
        </c:rich>
      </c:tx>
      <c:layout>
        <c:manualLayout>
          <c:xMode val="edge"/>
          <c:yMode val="edge"/>
          <c:x val="0.3699248120300752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30075187969924"/>
          <c:y val="0.14117667333506626"/>
          <c:w val="0.84511278195488726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-499</c:v>
                </c:pt>
                <c:pt idx="1">
                  <c:v>-203</c:v>
                </c:pt>
                <c:pt idx="2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-0.15000000000145519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3-4F18-A2AB-34EDDBA34C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-499</c:v>
                </c:pt>
                <c:pt idx="1">
                  <c:v>-203</c:v>
                </c:pt>
                <c:pt idx="2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-0.55000000000291038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3-4F18-A2AB-34EDDBA34C3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-499</c:v>
                </c:pt>
                <c:pt idx="1">
                  <c:v>-203</c:v>
                </c:pt>
                <c:pt idx="2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43-4F18-A2AB-34EDDBA34C3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-499</c:v>
                </c:pt>
                <c:pt idx="1">
                  <c:v>-203</c:v>
                </c:pt>
                <c:pt idx="2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43-4F18-A2AB-34EDDBA34C3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-499</c:v>
                </c:pt>
                <c:pt idx="1">
                  <c:v>-203</c:v>
                </c:pt>
                <c:pt idx="2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43-4F18-A2AB-34EDDBA34C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-499</c:v>
                </c:pt>
                <c:pt idx="1">
                  <c:v>-203</c:v>
                </c:pt>
                <c:pt idx="2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43-4F18-A2AB-34EDDBA34C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-499</c:v>
                </c:pt>
                <c:pt idx="1">
                  <c:v>-203</c:v>
                </c:pt>
                <c:pt idx="2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43-4F18-A2AB-34EDDBA34C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-499</c:v>
                </c:pt>
                <c:pt idx="1">
                  <c:v>-203</c:v>
                </c:pt>
                <c:pt idx="2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-0.28109738345371854</c:v>
                </c:pt>
                <c:pt idx="1">
                  <c:v>-0.22774584067936654</c:v>
                </c:pt>
                <c:pt idx="2">
                  <c:v>-0.19115677587128055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43-4F18-A2AB-34EDDBA34C3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-499</c:v>
                </c:pt>
                <c:pt idx="1">
                  <c:v>-203</c:v>
                </c:pt>
                <c:pt idx="2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643-4F18-A2AB-34EDDBA34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786016"/>
        <c:axId val="1"/>
      </c:scatterChart>
      <c:valAx>
        <c:axId val="892786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786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248120300751881"/>
          <c:y val="0.92353064690443099"/>
          <c:w val="0.74586466165413534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5A46015-0CFB-45DF-C663-96148F45F1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0" t="s">
        <v>42</v>
      </c>
      <c r="E1" s="2" t="s">
        <v>41</v>
      </c>
      <c r="F1" s="5" t="s">
        <v>43</v>
      </c>
    </row>
    <row r="2" spans="1:7" s="5" customFormat="1" ht="12.95" customHeight="1" x14ac:dyDescent="0.2">
      <c r="A2" s="5" t="s">
        <v>23</v>
      </c>
      <c r="B2" s="5" t="s">
        <v>44</v>
      </c>
      <c r="C2" s="6"/>
      <c r="D2" s="6"/>
      <c r="E2" s="5">
        <v>0</v>
      </c>
    </row>
    <row r="3" spans="1:7" s="5" customFormat="1" ht="12.95" customHeight="1" thickBot="1" x14ac:dyDescent="0.25"/>
    <row r="4" spans="1:7" s="5" customFormat="1" ht="12.95" customHeight="1" thickBot="1" x14ac:dyDescent="0.25">
      <c r="A4" s="7" t="s">
        <v>0</v>
      </c>
      <c r="C4" s="8">
        <v>52031</v>
      </c>
      <c r="D4" s="9">
        <v>513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31">
        <v>54601</v>
      </c>
      <c r="D7" s="11" t="s">
        <v>48</v>
      </c>
    </row>
    <row r="8" spans="1:7" s="5" customFormat="1" ht="12.95" customHeight="1" x14ac:dyDescent="0.2">
      <c r="A8" s="5" t="s">
        <v>3</v>
      </c>
      <c r="C8" s="31">
        <v>5.15</v>
      </c>
      <c r="D8" s="11" t="s">
        <v>48</v>
      </c>
    </row>
    <row r="9" spans="1:7" s="5" customFormat="1" ht="12.95" customHeight="1" x14ac:dyDescent="0.2">
      <c r="A9" s="12" t="s">
        <v>29</v>
      </c>
      <c r="C9" s="13">
        <v>-9.5</v>
      </c>
      <c r="D9" s="5" t="s">
        <v>30</v>
      </c>
    </row>
    <row r="10" spans="1:7" s="5" customFormat="1" ht="12.95" customHeight="1" thickBot="1" x14ac:dyDescent="0.25">
      <c r="C10" s="14" t="s">
        <v>19</v>
      </c>
      <c r="D10" s="14" t="s">
        <v>20</v>
      </c>
    </row>
    <row r="11" spans="1:7" s="5" customFormat="1" ht="12.95" customHeight="1" x14ac:dyDescent="0.2">
      <c r="A11" s="5" t="s">
        <v>15</v>
      </c>
      <c r="C11" s="15">
        <f ca="1">INTERCEPT(INDIRECT($G$11):G992,INDIRECT($F$11):F992)</f>
        <v>-0.19115677587128055</v>
      </c>
      <c r="D11" s="6"/>
      <c r="F11" s="16" t="s">
        <v>45</v>
      </c>
      <c r="G11" s="15" t="str">
        <f>"G"&amp;E19</f>
        <v>G21</v>
      </c>
    </row>
    <row r="12" spans="1:7" s="5" customFormat="1" ht="12.95" customHeight="1" x14ac:dyDescent="0.2">
      <c r="A12" s="5" t="s">
        <v>16</v>
      </c>
      <c r="C12" s="15">
        <f ca="1">SLOPE(INDIRECT($G$11):G992,INDIRECT($F$11):F992)</f>
        <v>1.80241698562E-4</v>
      </c>
      <c r="D12" s="6"/>
    </row>
    <row r="13" spans="1:7" s="5" customFormat="1" ht="12.95" customHeight="1" x14ac:dyDescent="0.2">
      <c r="A13" s="5" t="s">
        <v>18</v>
      </c>
      <c r="C13" s="6" t="s">
        <v>13</v>
      </c>
      <c r="D13" s="11" t="s">
        <v>38</v>
      </c>
      <c r="E13" s="13">
        <v>1</v>
      </c>
    </row>
    <row r="14" spans="1:7" s="5" customFormat="1" ht="12.95" customHeight="1" x14ac:dyDescent="0.2">
      <c r="D14" s="11" t="s">
        <v>31</v>
      </c>
      <c r="E14" s="17">
        <f ca="1">NOW()+15018.5+$C$9/24</f>
        <v>60376.701133912036</v>
      </c>
    </row>
    <row r="15" spans="1:7" s="5" customFormat="1" ht="12.95" customHeight="1" x14ac:dyDescent="0.2">
      <c r="A15" s="18" t="s">
        <v>17</v>
      </c>
      <c r="C15" s="19">
        <f ca="1">(C7+C11)+(C8+C12)*INT(MAX(F21:F3533))</f>
        <v>54600.808843224127</v>
      </c>
      <c r="D15" s="11" t="s">
        <v>39</v>
      </c>
      <c r="E15" s="17">
        <f ca="1">ROUND(2*(E14-$C$7)/$C$8,0)/2+E13</f>
        <v>1122.5</v>
      </c>
    </row>
    <row r="16" spans="1:7" s="5" customFormat="1" ht="12.95" customHeight="1" x14ac:dyDescent="0.2">
      <c r="A16" s="7" t="s">
        <v>4</v>
      </c>
      <c r="C16" s="20">
        <f ca="1">+C8+C12</f>
        <v>5.1501802416985623</v>
      </c>
      <c r="D16" s="11" t="s">
        <v>32</v>
      </c>
      <c r="E16" s="15">
        <f ca="1">ROUND(2*(E14-$C$15)/$C$16,0)/2+E13</f>
        <v>1122.5</v>
      </c>
    </row>
    <row r="17" spans="1:18" s="5" customFormat="1" ht="12.95" customHeight="1" thickBot="1" x14ac:dyDescent="0.25">
      <c r="A17" s="11" t="s">
        <v>28</v>
      </c>
      <c r="C17" s="5">
        <f>COUNT(C21:C2191)</f>
        <v>3</v>
      </c>
      <c r="D17" s="11" t="s">
        <v>33</v>
      </c>
      <c r="E17" s="21">
        <f ca="1">+$C$15+$C$16*E16-15018.5-$C$9/24</f>
        <v>45363.781997864098</v>
      </c>
    </row>
    <row r="18" spans="1:18" s="5" customFormat="1" ht="12.95" customHeight="1" thickTop="1" thickBot="1" x14ac:dyDescent="0.25">
      <c r="A18" s="7" t="s">
        <v>5</v>
      </c>
      <c r="C18" s="22">
        <f ca="1">+C15</f>
        <v>54600.808843224127</v>
      </c>
      <c r="D18" s="23">
        <f ca="1">+C16</f>
        <v>5.1501802416985623</v>
      </c>
      <c r="E18" s="24" t="s">
        <v>34</v>
      </c>
    </row>
    <row r="19" spans="1:18" s="5" customFormat="1" ht="12.95" customHeight="1" thickTop="1" x14ac:dyDescent="0.2">
      <c r="A19" s="2" t="s">
        <v>35</v>
      </c>
      <c r="E19" s="25">
        <v>21</v>
      </c>
    </row>
    <row r="20" spans="1:18" s="5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6" t="s">
        <v>36</v>
      </c>
      <c r="I20" s="26" t="s">
        <v>27</v>
      </c>
      <c r="J20" s="26" t="s">
        <v>48</v>
      </c>
      <c r="K20" s="26" t="s">
        <v>49</v>
      </c>
      <c r="L20" s="26" t="s">
        <v>24</v>
      </c>
      <c r="M20" s="26" t="s">
        <v>25</v>
      </c>
      <c r="N20" s="26" t="s">
        <v>26</v>
      </c>
      <c r="O20" s="26" t="s">
        <v>22</v>
      </c>
      <c r="P20" s="27" t="s">
        <v>21</v>
      </c>
      <c r="Q20" s="14" t="s">
        <v>14</v>
      </c>
      <c r="R20" s="28" t="s">
        <v>37</v>
      </c>
    </row>
    <row r="21" spans="1:18" s="5" customFormat="1" ht="12.95" customHeight="1" x14ac:dyDescent="0.2">
      <c r="A21" s="11" t="s">
        <v>40</v>
      </c>
      <c r="C21" s="10">
        <v>52031</v>
      </c>
      <c r="D21" s="10" t="s">
        <v>13</v>
      </c>
      <c r="E21" s="5">
        <f>+(C21-C$7)/C$8</f>
        <v>-499.02912621359218</v>
      </c>
      <c r="F21" s="5">
        <f>ROUND(2*E21,0)/2</f>
        <v>-499</v>
      </c>
      <c r="G21" s="5">
        <f>+C21-(C$7+F21*C$8)</f>
        <v>-0.15000000000145519</v>
      </c>
      <c r="H21" s="5">
        <f>+G21</f>
        <v>-0.15000000000145519</v>
      </c>
      <c r="O21" s="5">
        <f ca="1">+C$11+C$12*$F21</f>
        <v>-0.28109738345371854</v>
      </c>
      <c r="Q21" s="29">
        <f>+C21-15018.5</f>
        <v>37012.5</v>
      </c>
    </row>
    <row r="22" spans="1:18" s="5" customFormat="1" ht="12.95" customHeight="1" x14ac:dyDescent="0.2">
      <c r="A22" s="3" t="s">
        <v>46</v>
      </c>
      <c r="B22" s="4" t="s">
        <v>47</v>
      </c>
      <c r="C22" s="3">
        <v>53555</v>
      </c>
      <c r="D22" s="3">
        <v>2</v>
      </c>
      <c r="E22" s="5">
        <f>+(C22-C$7)/C$8</f>
        <v>-203.10679611650485</v>
      </c>
      <c r="F22" s="5">
        <f>ROUND(2*E22,0)/2</f>
        <v>-203</v>
      </c>
      <c r="G22" s="5">
        <f>+C22-(C$7+F22*C$8)</f>
        <v>-0.55000000000291038</v>
      </c>
      <c r="I22" s="5">
        <f>+G22</f>
        <v>-0.55000000000291038</v>
      </c>
      <c r="O22" s="5">
        <f ca="1">+C$11+C$12*$F22</f>
        <v>-0.22774584067936654</v>
      </c>
      <c r="Q22" s="29">
        <f>+C22-15018.5</f>
        <v>38536.5</v>
      </c>
    </row>
    <row r="23" spans="1:18" s="5" customFormat="1" ht="12.95" customHeight="1" x14ac:dyDescent="0.2">
      <c r="A23" s="5" t="str">
        <f>$D$7</f>
        <v>VSX</v>
      </c>
      <c r="C23" s="10">
        <f>$C$7</f>
        <v>54601</v>
      </c>
      <c r="D23" s="10"/>
      <c r="E23" s="5">
        <f>+(C23-C$7)/C$8</f>
        <v>0</v>
      </c>
      <c r="F23" s="5">
        <f>ROUND(2*E23,0)/2</f>
        <v>0</v>
      </c>
      <c r="G23" s="5">
        <f>+C23-(C$7+F23*C$8)</f>
        <v>0</v>
      </c>
      <c r="J23" s="5">
        <v>0</v>
      </c>
      <c r="O23" s="5">
        <f ca="1">+C$11+C$12*$F23</f>
        <v>-0.19115677587128055</v>
      </c>
      <c r="Q23" s="29">
        <f>+C23-15018.5</f>
        <v>39582.5</v>
      </c>
    </row>
    <row r="24" spans="1:18" s="5" customFormat="1" ht="12.95" customHeight="1" x14ac:dyDescent="0.2">
      <c r="C24" s="10"/>
      <c r="D24" s="10"/>
      <c r="Q24" s="29"/>
    </row>
    <row r="25" spans="1:18" s="5" customFormat="1" ht="12.95" customHeight="1" x14ac:dyDescent="0.2">
      <c r="C25" s="10"/>
      <c r="D25" s="10"/>
      <c r="Q25" s="29"/>
    </row>
    <row r="26" spans="1:18" s="5" customFormat="1" ht="12.95" customHeight="1" x14ac:dyDescent="0.2">
      <c r="C26" s="10"/>
      <c r="D26" s="10"/>
      <c r="Q26" s="29"/>
    </row>
    <row r="27" spans="1:18" s="5" customFormat="1" ht="12.95" customHeight="1" x14ac:dyDescent="0.2">
      <c r="C27" s="10"/>
      <c r="D27" s="10"/>
      <c r="Q27" s="29"/>
    </row>
    <row r="28" spans="1:18" s="5" customFormat="1" ht="12.95" customHeight="1" x14ac:dyDescent="0.2">
      <c r="C28" s="10"/>
      <c r="D28" s="10"/>
      <c r="Q28" s="29"/>
    </row>
    <row r="29" spans="1:18" s="5" customFormat="1" ht="12.95" customHeight="1" x14ac:dyDescent="0.2">
      <c r="C29" s="10"/>
      <c r="D29" s="10"/>
      <c r="Q29" s="29"/>
    </row>
    <row r="30" spans="1:18" s="5" customFormat="1" ht="12.95" customHeight="1" x14ac:dyDescent="0.2">
      <c r="C30" s="10"/>
      <c r="D30" s="10"/>
      <c r="Q30" s="29"/>
    </row>
    <row r="31" spans="1:18" s="5" customFormat="1" ht="12.95" customHeight="1" x14ac:dyDescent="0.2">
      <c r="C31" s="10"/>
      <c r="D31" s="10"/>
      <c r="Q31" s="29"/>
    </row>
    <row r="32" spans="1:18" s="5" customFormat="1" ht="12.95" customHeight="1" x14ac:dyDescent="0.2">
      <c r="C32" s="10"/>
      <c r="D32" s="10"/>
      <c r="Q32" s="29"/>
    </row>
    <row r="33" spans="3:17" s="5" customFormat="1" ht="12.95" customHeight="1" x14ac:dyDescent="0.2">
      <c r="C33" s="10"/>
      <c r="D33" s="10"/>
      <c r="Q33" s="29"/>
    </row>
    <row r="34" spans="3:17" x14ac:dyDescent="0.2">
      <c r="C34" s="1"/>
      <c r="D34" s="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2024-03-07T03:49:38Z</dcterms:modified>
</cp:coreProperties>
</file>