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5A038BF-B743-4F56-9591-D1B3D68227BE}" xr6:coauthVersionLast="47" xr6:coauthVersionMax="47" xr10:uidLastSave="{00000000-0000-0000-0000-000000000000}"/>
  <bookViews>
    <workbookView xWindow="-120" yWindow="-120" windowWidth="29040" windowHeight="15840"/>
  </bookViews>
  <sheets>
    <sheet name="Active 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Q64" i="2" l="1"/>
  <c r="Q63" i="2"/>
  <c r="E34" i="2"/>
  <c r="F34" i="2"/>
  <c r="E55" i="2"/>
  <c r="F55" i="2"/>
  <c r="E49" i="2"/>
  <c r="F49" i="2"/>
  <c r="E59" i="2"/>
  <c r="F59" i="2"/>
  <c r="D9" i="2"/>
  <c r="C9" i="2"/>
  <c r="Q21" i="2"/>
  <c r="Q22" i="2"/>
  <c r="Q23" i="2"/>
  <c r="Q24" i="2"/>
  <c r="Q25" i="2"/>
  <c r="Q32" i="2"/>
  <c r="Q34" i="2"/>
  <c r="Q38" i="2"/>
  <c r="Q39" i="2"/>
  <c r="Q40" i="2"/>
  <c r="Q41" i="2"/>
  <c r="Q46" i="2"/>
  <c r="Q47" i="2"/>
  <c r="Q48" i="2"/>
  <c r="Q55" i="2"/>
  <c r="Q57" i="2"/>
  <c r="Q60" i="2"/>
  <c r="G35" i="3"/>
  <c r="C35" i="3"/>
  <c r="G34" i="3"/>
  <c r="C34" i="3"/>
  <c r="G52" i="3"/>
  <c r="C52" i="3"/>
  <c r="G33" i="3"/>
  <c r="C33" i="3"/>
  <c r="E33" i="3"/>
  <c r="G32" i="3"/>
  <c r="C32" i="3"/>
  <c r="G51" i="3"/>
  <c r="C51" i="3"/>
  <c r="G31" i="3"/>
  <c r="C31" i="3"/>
  <c r="G50" i="3"/>
  <c r="C50" i="3"/>
  <c r="E50" i="3"/>
  <c r="G30" i="3"/>
  <c r="C30" i="3"/>
  <c r="G29" i="3"/>
  <c r="C29" i="3"/>
  <c r="G28" i="3"/>
  <c r="C28" i="3"/>
  <c r="G27" i="3"/>
  <c r="C27" i="3"/>
  <c r="G26" i="3"/>
  <c r="C26" i="3"/>
  <c r="G25" i="3"/>
  <c r="C25" i="3"/>
  <c r="E25" i="3"/>
  <c r="G49" i="3"/>
  <c r="C49" i="3"/>
  <c r="G48" i="3"/>
  <c r="C48" i="3"/>
  <c r="G47" i="3"/>
  <c r="C47" i="3"/>
  <c r="G24" i="3"/>
  <c r="C24" i="3"/>
  <c r="G23" i="3"/>
  <c r="C23" i="3"/>
  <c r="G22" i="3"/>
  <c r="C22" i="3"/>
  <c r="G21" i="3"/>
  <c r="C21" i="3"/>
  <c r="G46" i="3"/>
  <c r="C46" i="3"/>
  <c r="G45" i="3"/>
  <c r="C45" i="3"/>
  <c r="G44" i="3"/>
  <c r="C44" i="3"/>
  <c r="G43" i="3"/>
  <c r="C43" i="3"/>
  <c r="G20" i="3"/>
  <c r="C20" i="3"/>
  <c r="G19" i="3"/>
  <c r="C19" i="3"/>
  <c r="G18" i="3"/>
  <c r="C18" i="3"/>
  <c r="G42" i="3"/>
  <c r="C42" i="3"/>
  <c r="E42" i="3"/>
  <c r="G17" i="3"/>
  <c r="C17" i="3"/>
  <c r="G41" i="3"/>
  <c r="C41" i="3"/>
  <c r="G16" i="3"/>
  <c r="C16" i="3"/>
  <c r="G15" i="3"/>
  <c r="C15" i="3"/>
  <c r="G14" i="3"/>
  <c r="C14" i="3"/>
  <c r="G13" i="3"/>
  <c r="C13" i="3"/>
  <c r="G12" i="3"/>
  <c r="C12" i="3"/>
  <c r="G11" i="3"/>
  <c r="C11" i="3"/>
  <c r="G40" i="3"/>
  <c r="C40" i="3"/>
  <c r="G39" i="3"/>
  <c r="C39" i="3"/>
  <c r="G38" i="3"/>
  <c r="C38" i="3"/>
  <c r="G37" i="3"/>
  <c r="C37" i="3"/>
  <c r="G36" i="3"/>
  <c r="C36" i="3"/>
  <c r="H35" i="3"/>
  <c r="D35" i="3"/>
  <c r="B35" i="3"/>
  <c r="A35" i="3"/>
  <c r="H34" i="3"/>
  <c r="B34" i="3"/>
  <c r="D34" i="3"/>
  <c r="A34" i="3"/>
  <c r="H52" i="3"/>
  <c r="D52" i="3"/>
  <c r="B52" i="3"/>
  <c r="A52" i="3"/>
  <c r="H33" i="3"/>
  <c r="B33" i="3"/>
  <c r="D33" i="3"/>
  <c r="A33" i="3"/>
  <c r="H32" i="3"/>
  <c r="D32" i="3"/>
  <c r="B32" i="3"/>
  <c r="A32" i="3"/>
  <c r="H51" i="3"/>
  <c r="B51" i="3"/>
  <c r="D51" i="3"/>
  <c r="A51" i="3"/>
  <c r="H31" i="3"/>
  <c r="D31" i="3"/>
  <c r="B31" i="3"/>
  <c r="A31" i="3"/>
  <c r="H50" i="3"/>
  <c r="B50" i="3"/>
  <c r="D50" i="3"/>
  <c r="A50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49" i="3"/>
  <c r="D49" i="3"/>
  <c r="B49" i="3"/>
  <c r="A49" i="3"/>
  <c r="H48" i="3"/>
  <c r="B48" i="3"/>
  <c r="D48" i="3"/>
  <c r="A48" i="3"/>
  <c r="H47" i="3"/>
  <c r="D47" i="3"/>
  <c r="B47" i="3"/>
  <c r="A47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20" i="3"/>
  <c r="B20" i="3"/>
  <c r="D20" i="3"/>
  <c r="A20" i="3"/>
  <c r="H19" i="3"/>
  <c r="D19" i="3"/>
  <c r="B19" i="3"/>
  <c r="A19" i="3"/>
  <c r="H18" i="3"/>
  <c r="B18" i="3"/>
  <c r="D18" i="3"/>
  <c r="A18" i="3"/>
  <c r="H42" i="3"/>
  <c r="D42" i="3"/>
  <c r="B42" i="3"/>
  <c r="A42" i="3"/>
  <c r="H17" i="3"/>
  <c r="B17" i="3"/>
  <c r="D17" i="3"/>
  <c r="A17" i="3"/>
  <c r="H41" i="3"/>
  <c r="D41" i="3"/>
  <c r="B41" i="3"/>
  <c r="A41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H40" i="3"/>
  <c r="B40" i="3"/>
  <c r="D40" i="3"/>
  <c r="A40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Q62" i="2"/>
  <c r="Q61" i="2"/>
  <c r="Q45" i="2"/>
  <c r="Q51" i="2"/>
  <c r="Q59" i="2"/>
  <c r="C7" i="2"/>
  <c r="E64" i="2"/>
  <c r="F64" i="2"/>
  <c r="G64" i="2"/>
  <c r="K64" i="2"/>
  <c r="Q58" i="2"/>
  <c r="F16" i="2"/>
  <c r="F17" i="2" s="1"/>
  <c r="C17" i="2"/>
  <c r="Q52" i="2"/>
  <c r="Q26" i="2"/>
  <c r="Q27" i="2"/>
  <c r="Q28" i="2"/>
  <c r="Q29" i="2"/>
  <c r="Q30" i="2"/>
  <c r="Q31" i="2"/>
  <c r="Q33" i="2"/>
  <c r="Q35" i="2"/>
  <c r="Q36" i="2"/>
  <c r="Q37" i="2"/>
  <c r="Q42" i="2"/>
  <c r="Q43" i="2"/>
  <c r="Q44" i="2"/>
  <c r="Q49" i="2"/>
  <c r="Q50" i="2"/>
  <c r="Q53" i="2"/>
  <c r="Q54" i="2"/>
  <c r="Q56" i="2"/>
  <c r="E36" i="1"/>
  <c r="F36" i="1"/>
  <c r="G36" i="1"/>
  <c r="K36" i="1"/>
  <c r="E37" i="1"/>
  <c r="F37" i="1"/>
  <c r="E21" i="1"/>
  <c r="F21" i="1"/>
  <c r="E22" i="1"/>
  <c r="F22" i="1"/>
  <c r="G22" i="1"/>
  <c r="I22" i="1"/>
  <c r="E24" i="1"/>
  <c r="F24" i="1"/>
  <c r="G24" i="1"/>
  <c r="I24" i="1"/>
  <c r="E25" i="1"/>
  <c r="F25" i="1"/>
  <c r="E28" i="1"/>
  <c r="F28" i="1"/>
  <c r="E29" i="1"/>
  <c r="F29" i="1"/>
  <c r="E30" i="1"/>
  <c r="F30" i="1"/>
  <c r="G30" i="1"/>
  <c r="I30" i="1"/>
  <c r="E32" i="1"/>
  <c r="F32" i="1"/>
  <c r="G32" i="1"/>
  <c r="I32" i="1"/>
  <c r="E33" i="1"/>
  <c r="F33" i="1"/>
  <c r="E38" i="1"/>
  <c r="F38" i="1"/>
  <c r="F11" i="1"/>
  <c r="Q36" i="1"/>
  <c r="Q37" i="1"/>
  <c r="Q38" i="1"/>
  <c r="G11" i="1"/>
  <c r="E15" i="1"/>
  <c r="C17" i="1"/>
  <c r="Q34" i="1"/>
  <c r="Q35" i="1"/>
  <c r="Q22" i="1"/>
  <c r="Q23" i="1"/>
  <c r="Q24" i="1"/>
  <c r="Q25" i="1"/>
  <c r="Q26" i="1"/>
  <c r="Q27" i="1"/>
  <c r="Q28" i="1"/>
  <c r="Q29" i="1"/>
  <c r="Q30" i="1"/>
  <c r="Q31" i="1"/>
  <c r="Q32" i="1"/>
  <c r="Q33" i="1"/>
  <c r="C8" i="1"/>
  <c r="C7" i="1"/>
  <c r="Q21" i="1"/>
  <c r="G37" i="1"/>
  <c r="K37" i="1"/>
  <c r="E39" i="3"/>
  <c r="E16" i="3"/>
  <c r="E31" i="3"/>
  <c r="E12" i="3"/>
  <c r="G33" i="1"/>
  <c r="I33" i="1"/>
  <c r="E31" i="1"/>
  <c r="F31" i="1"/>
  <c r="G31" i="1"/>
  <c r="I31" i="1"/>
  <c r="G25" i="1"/>
  <c r="I25" i="1"/>
  <c r="E23" i="1"/>
  <c r="F23" i="1"/>
  <c r="G23" i="1"/>
  <c r="I23" i="1"/>
  <c r="U28" i="2"/>
  <c r="E26" i="2"/>
  <c r="F26" i="2"/>
  <c r="G26" i="2"/>
  <c r="H26" i="2"/>
  <c r="E28" i="2"/>
  <c r="F28" i="2"/>
  <c r="E30" i="2"/>
  <c r="F30" i="2"/>
  <c r="U30" i="2"/>
  <c r="E58" i="2"/>
  <c r="F58" i="2"/>
  <c r="G58" i="2"/>
  <c r="K58" i="2"/>
  <c r="G50" i="2"/>
  <c r="K50" i="2"/>
  <c r="E45" i="2"/>
  <c r="F45" i="2"/>
  <c r="U45" i="2"/>
  <c r="E48" i="2"/>
  <c r="F48" i="2"/>
  <c r="E32" i="2"/>
  <c r="F32" i="2"/>
  <c r="E21" i="2"/>
  <c r="F21" i="2"/>
  <c r="G56" i="2"/>
  <c r="K56" i="2"/>
  <c r="E53" i="2"/>
  <c r="F53" i="2"/>
  <c r="E37" i="2"/>
  <c r="F37" i="2"/>
  <c r="E41" i="2"/>
  <c r="F41" i="2"/>
  <c r="E23" i="2"/>
  <c r="F23" i="2"/>
  <c r="E35" i="2"/>
  <c r="F35" i="2"/>
  <c r="G35" i="2"/>
  <c r="I35" i="2"/>
  <c r="E61" i="2"/>
  <c r="F61" i="2"/>
  <c r="G61" i="2"/>
  <c r="J61" i="2"/>
  <c r="E50" i="2"/>
  <c r="F50" i="2"/>
  <c r="E57" i="2"/>
  <c r="F57" i="2"/>
  <c r="G57" i="2"/>
  <c r="K57" i="2"/>
  <c r="E38" i="2"/>
  <c r="F38" i="2"/>
  <c r="G38" i="2"/>
  <c r="I38" i="2"/>
  <c r="E33" i="2"/>
  <c r="F33" i="2"/>
  <c r="G33" i="2"/>
  <c r="I33" i="2"/>
  <c r="G59" i="2"/>
  <c r="K59" i="2"/>
  <c r="E56" i="2"/>
  <c r="F56" i="2"/>
  <c r="G49" i="2"/>
  <c r="K49" i="2"/>
  <c r="E44" i="2"/>
  <c r="G55" i="2"/>
  <c r="K55" i="2"/>
  <c r="E47" i="2"/>
  <c r="F47" i="2"/>
  <c r="G47" i="2"/>
  <c r="I47" i="2"/>
  <c r="G34" i="2"/>
  <c r="I34" i="2"/>
  <c r="E25" i="2"/>
  <c r="F25" i="2"/>
  <c r="G25" i="2"/>
  <c r="H25" i="2"/>
  <c r="E35" i="1"/>
  <c r="F35" i="1"/>
  <c r="G35" i="1"/>
  <c r="J35" i="1"/>
  <c r="G29" i="1"/>
  <c r="I29" i="1"/>
  <c r="E27" i="1"/>
  <c r="F27" i="1"/>
  <c r="G27" i="1"/>
  <c r="I27" i="1"/>
  <c r="G21" i="1"/>
  <c r="E27" i="2"/>
  <c r="F27" i="2"/>
  <c r="U27" i="2"/>
  <c r="E29" i="2"/>
  <c r="E31" i="2"/>
  <c r="F31" i="2"/>
  <c r="G31" i="2"/>
  <c r="I31" i="2"/>
  <c r="E42" i="2"/>
  <c r="F42" i="2"/>
  <c r="E52" i="2"/>
  <c r="E36" i="2"/>
  <c r="E40" i="2"/>
  <c r="F40" i="2"/>
  <c r="G40" i="2"/>
  <c r="J40" i="2"/>
  <c r="G24" i="2"/>
  <c r="H24" i="2"/>
  <c r="E22" i="2"/>
  <c r="F22" i="2"/>
  <c r="G22" i="2"/>
  <c r="H22" i="2"/>
  <c r="E54" i="2"/>
  <c r="F54" i="2"/>
  <c r="G54" i="2"/>
  <c r="J54" i="2"/>
  <c r="E43" i="2"/>
  <c r="F43" i="2"/>
  <c r="G43" i="2"/>
  <c r="I43" i="2"/>
  <c r="G48" i="2"/>
  <c r="I48" i="2"/>
  <c r="E46" i="2"/>
  <c r="F46" i="2"/>
  <c r="G46" i="2"/>
  <c r="I46" i="2"/>
  <c r="G32" i="2"/>
  <c r="I32" i="2"/>
  <c r="E24" i="2"/>
  <c r="F24" i="2"/>
  <c r="G21" i="2"/>
  <c r="H21" i="2"/>
  <c r="E63" i="2"/>
  <c r="F63" i="2"/>
  <c r="G63" i="2"/>
  <c r="K63" i="2"/>
  <c r="G38" i="1"/>
  <c r="K38" i="1"/>
  <c r="E34" i="1"/>
  <c r="F34" i="1"/>
  <c r="G34" i="1"/>
  <c r="K34" i="1"/>
  <c r="G28" i="1"/>
  <c r="I28" i="1"/>
  <c r="E26" i="1"/>
  <c r="F26" i="1"/>
  <c r="G26" i="1"/>
  <c r="I26" i="1"/>
  <c r="E62" i="2"/>
  <c r="F62" i="2"/>
  <c r="G62" i="2"/>
  <c r="J62" i="2"/>
  <c r="G53" i="2"/>
  <c r="J53" i="2"/>
  <c r="E51" i="2"/>
  <c r="F51" i="2"/>
  <c r="G51" i="2"/>
  <c r="K51" i="2"/>
  <c r="G37" i="2"/>
  <c r="I37" i="2"/>
  <c r="E60" i="2"/>
  <c r="G41" i="2"/>
  <c r="I41" i="2"/>
  <c r="E39" i="2"/>
  <c r="F39" i="2"/>
  <c r="G39" i="2"/>
  <c r="I39" i="2"/>
  <c r="G23" i="2"/>
  <c r="H23" i="2"/>
  <c r="E24" i="3"/>
  <c r="E45" i="3"/>
  <c r="E34" i="3"/>
  <c r="E40" i="3"/>
  <c r="E32" i="3"/>
  <c r="E14" i="3"/>
  <c r="F29" i="2"/>
  <c r="U29" i="2"/>
  <c r="E37" i="3"/>
  <c r="E36" i="3"/>
  <c r="E43" i="3"/>
  <c r="E30" i="3"/>
  <c r="E46" i="3"/>
  <c r="E48" i="3"/>
  <c r="F60" i="2"/>
  <c r="G60" i="2"/>
  <c r="K60" i="2"/>
  <c r="E52" i="3"/>
  <c r="E19" i="3"/>
  <c r="F36" i="2"/>
  <c r="G36" i="2"/>
  <c r="H21" i="1"/>
  <c r="E23" i="3"/>
  <c r="F44" i="2"/>
  <c r="G44" i="2"/>
  <c r="I44" i="2"/>
  <c r="E35" i="3"/>
  <c r="E11" i="3"/>
  <c r="E21" i="3"/>
  <c r="E18" i="3"/>
  <c r="E17" i="3"/>
  <c r="E26" i="3"/>
  <c r="E47" i="3"/>
  <c r="E15" i="3"/>
  <c r="E38" i="3"/>
  <c r="E28" i="3"/>
  <c r="F52" i="2"/>
  <c r="G52" i="2"/>
  <c r="K52" i="2"/>
  <c r="E51" i="3"/>
  <c r="E44" i="3"/>
  <c r="E22" i="3"/>
  <c r="E29" i="3"/>
  <c r="E27" i="3"/>
  <c r="E41" i="3"/>
  <c r="E20" i="3"/>
  <c r="E49" i="3"/>
  <c r="E13" i="3"/>
  <c r="I36" i="2"/>
  <c r="C12" i="2"/>
  <c r="C11" i="2"/>
  <c r="C11" i="1"/>
  <c r="O45" i="2" l="1"/>
  <c r="O34" i="2"/>
  <c r="O32" i="2"/>
  <c r="O49" i="2"/>
  <c r="O59" i="2"/>
  <c r="O64" i="2"/>
  <c r="O58" i="2"/>
  <c r="O47" i="2"/>
  <c r="O56" i="2"/>
  <c r="O36" i="2"/>
  <c r="O39" i="2"/>
  <c r="O51" i="2"/>
  <c r="O35" i="2"/>
  <c r="O52" i="2"/>
  <c r="O44" i="2"/>
  <c r="O60" i="2"/>
  <c r="O40" i="2"/>
  <c r="O53" i="2"/>
  <c r="O46" i="2"/>
  <c r="O62" i="2"/>
  <c r="C15" i="2"/>
  <c r="O38" i="2"/>
  <c r="O57" i="2"/>
  <c r="O41" i="2"/>
  <c r="O55" i="2"/>
  <c r="O33" i="2"/>
  <c r="O48" i="2"/>
  <c r="O63" i="2"/>
  <c r="O54" i="2"/>
  <c r="O42" i="2"/>
  <c r="O43" i="2"/>
  <c r="O61" i="2"/>
  <c r="O50" i="2"/>
  <c r="O37" i="2"/>
  <c r="C16" i="2"/>
  <c r="D18" i="2" s="1"/>
  <c r="C12" i="1"/>
  <c r="C16" i="1" l="1"/>
  <c r="D18" i="1" s="1"/>
  <c r="O30" i="1"/>
  <c r="O22" i="1"/>
  <c r="O23" i="1"/>
  <c r="O27" i="1"/>
  <c r="O24" i="1"/>
  <c r="O25" i="1"/>
  <c r="O21" i="1"/>
  <c r="O31" i="1"/>
  <c r="O33" i="1"/>
  <c r="O26" i="1"/>
  <c r="O32" i="1"/>
  <c r="O35" i="1"/>
  <c r="O34" i="1"/>
  <c r="O38" i="1"/>
  <c r="C15" i="1"/>
  <c r="O29" i="1"/>
  <c r="O37" i="1"/>
  <c r="O28" i="1"/>
  <c r="O36" i="1"/>
  <c r="C18" i="2"/>
  <c r="F18" i="2"/>
  <c r="F19" i="2" s="1"/>
  <c r="C18" i="1" l="1"/>
  <c r="E16" i="1"/>
  <c r="E17" i="1" s="1"/>
</calcChain>
</file>

<file path=xl/sharedStrings.xml><?xml version="1.0" encoding="utf-8"?>
<sst xmlns="http://schemas.openxmlformats.org/spreadsheetml/2006/main" count="592" uniqueCount="270">
  <si>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</si>
  <si>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</si>
  <si>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</si>
  <si>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</si>
  <si>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</si>
  <si>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</si>
  <si>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</si>
  <si>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</si>
  <si>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</si>
  <si>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</si>
  <si>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</si>
  <si>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</si>
  <si>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</si>
  <si>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</si>
  <si>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</si>
  <si>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</si>
  <si>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</si>
  <si>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</si>
  <si>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</si>
  <si>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</si>
  <si>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</si>
  <si>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</si>
  <si>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</si>
  <si>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</si>
  <si>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</si>
  <si>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</si>
  <si>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</si>
  <si>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</si>
  <si>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</si>
  <si>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Bull...15</t>
  </si>
  <si>
    <t>B</t>
  </si>
  <si>
    <t>v</t>
  </si>
  <si>
    <t>Peter H</t>
  </si>
  <si>
    <t>BBSAG Bull.42</t>
  </si>
  <si>
    <t>BBSAG Bull.53</t>
  </si>
  <si>
    <t>BBSAG Bull.65</t>
  </si>
  <si>
    <t>BBSAG Bull.91</t>
  </si>
  <si>
    <t>BBSAG Bull.94</t>
  </si>
  <si>
    <t>BBSAG Bull.101</t>
  </si>
  <si>
    <t>BBSAG Bull.108</t>
  </si>
  <si>
    <t>BBSAG Bull.111</t>
  </si>
  <si>
    <t>BBSAG</t>
  </si>
  <si>
    <t>Relation is very uncertain</t>
  </si>
  <si>
    <t>Nelson</t>
  </si>
  <si>
    <t># of data points:</t>
  </si>
  <si>
    <t>EB/DM</t>
  </si>
  <si>
    <t>AN Tau / GSC 01825-00587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</si>
  <si>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</si>
  <si>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</si>
  <si>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</si>
  <si>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</si>
  <si>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</si>
  <si>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</si>
  <si>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5672</t>
  </si>
  <si>
    <t>IBVS 5745</t>
  </si>
  <si>
    <t>I</t>
  </si>
  <si>
    <t>IBVS</t>
  </si>
  <si>
    <t>Start of linear fit &gt;&gt;&gt;&gt;&gt;&gt;&gt;&gt;&gt;&gt;&gt;&gt;&gt;&gt;&gt;&gt;&gt;&gt;&gt;&gt;&gt;</t>
  </si>
  <si>
    <t>IBVS 5871</t>
  </si>
  <si>
    <t>No period by ToMcat</t>
  </si>
  <si>
    <t>IBVS 5874</t>
  </si>
  <si>
    <t>II</t>
  </si>
  <si>
    <t>This is a better fit</t>
  </si>
  <si>
    <t>IBVS 5917</t>
  </si>
  <si>
    <t>Add cycle</t>
  </si>
  <si>
    <t>Old Cycle</t>
  </si>
  <si>
    <t>IBVS 5960</t>
  </si>
  <si>
    <t>JAVSO..36..171</t>
  </si>
  <si>
    <t>n/a</t>
  </si>
  <si>
    <t>IBVS 6029</t>
  </si>
  <si>
    <t>IBVS 6118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</si>
  <si>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</si>
  <si>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</si>
  <si>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</si>
  <si>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</si>
  <si>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</si>
  <si>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</si>
  <si>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</si>
  <si>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</si>
  <si>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</si>
  <si>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</si>
  <si>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</si>
  <si>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</si>
  <si>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P </t>
  </si>
  <si>
    <t> 0.004 </t>
  </si>
  <si>
    <t>E </t>
  </si>
  <si>
    <t>?</t>
  </si>
  <si>
    <t>V </t>
  </si>
  <si>
    <t> R.Diethelm </t>
  </si>
  <si>
    <t> BBS 42 </t>
  </si>
  <si>
    <t> -0.027 </t>
  </si>
  <si>
    <t> BBS 65 </t>
  </si>
  <si>
    <t> -0.043 </t>
  </si>
  <si>
    <t> H.Peter </t>
  </si>
  <si>
    <t> BBS 91 </t>
  </si>
  <si>
    <t> BBS 94 </t>
  </si>
  <si>
    <t> BBS 108 </t>
  </si>
  <si>
    <t> BBS 111 </t>
  </si>
  <si>
    <t>o</t>
  </si>
  <si>
    <t> F.Agerer </t>
  </si>
  <si>
    <t>C </t>
  </si>
  <si>
    <t>ns</t>
  </si>
  <si>
    <t> Nakajima </t>
  </si>
  <si>
    <t>-I</t>
  </si>
  <si>
    <t>BAVM 201 </t>
  </si>
  <si>
    <t> G.Marino et al. </t>
  </si>
  <si>
    <t>IBVS 5917 </t>
  </si>
  <si>
    <t>BAVM 203 </t>
  </si>
  <si>
    <t>Rc</t>
  </si>
  <si>
    <t> K.Shiokawa </t>
  </si>
  <si>
    <t>IBVS 5960 </t>
  </si>
  <si>
    <t> F.Salvaggio </t>
  </si>
  <si>
    <t>VSB 56 </t>
  </si>
  <si>
    <t>BAVM 234 </t>
  </si>
  <si>
    <t>2416932.28 </t>
  </si>
  <si>
    <t> 27.03.1905 18:43 </t>
  </si>
  <si>
    <t> 0.09 </t>
  </si>
  <si>
    <t> B.W.Kukarkin </t>
  </si>
  <si>
    <t> PZ 3.18 </t>
  </si>
  <si>
    <t>2417124.42 </t>
  </si>
  <si>
    <t> 05.10.1905 22:04 </t>
  </si>
  <si>
    <t>2419368.41 </t>
  </si>
  <si>
    <t> 27.11.1911 21:50 </t>
  </si>
  <si>
    <t> -0.27 </t>
  </si>
  <si>
    <t>2424556.41 </t>
  </si>
  <si>
    <t> 09.02.1926 21:50 </t>
  </si>
  <si>
    <t> -0.11 </t>
  </si>
  <si>
    <t> P.Guthnick </t>
  </si>
  <si>
    <t> AN 235.85 </t>
  </si>
  <si>
    <t>2424590.32 </t>
  </si>
  <si>
    <t> 15.03.1926 19:40 </t>
  </si>
  <si>
    <t>2428181.388 </t>
  </si>
  <si>
    <t> 13.01.1936 21:18 </t>
  </si>
  <si>
    <t> 0.000 </t>
  </si>
  <si>
    <t> M.Beyer </t>
  </si>
  <si>
    <t> AN 260.12 </t>
  </si>
  <si>
    <t>2440147.489 </t>
  </si>
  <si>
    <t> 17.10.1968 23:44 </t>
  </si>
  <si>
    <t> ORI 110 </t>
  </si>
  <si>
    <t>2443927.360 </t>
  </si>
  <si>
    <t> 22.02.1979 20:38 </t>
  </si>
  <si>
    <t> 0.003 </t>
  </si>
  <si>
    <t>2444644.274 </t>
  </si>
  <si>
    <t> 08.02.1981 18:34 </t>
  </si>
  <si>
    <t> 0.017 </t>
  </si>
  <si>
    <t> BBS 53 </t>
  </si>
  <si>
    <t>2445385.334 </t>
  </si>
  <si>
    <t> 19.02.1983 20:00 </t>
  </si>
  <si>
    <t>2447531.380 </t>
  </si>
  <si>
    <t> 04.01.1989 21:07 </t>
  </si>
  <si>
    <t> 0.146 </t>
  </si>
  <si>
    <t>2447560.436 </t>
  </si>
  <si>
    <t> 02.02.1989 22:27 </t>
  </si>
  <si>
    <t> 0.139 </t>
  </si>
  <si>
    <t> J.Kreiner et al. </t>
  </si>
  <si>
    <t> PIAU 1991.322 </t>
  </si>
  <si>
    <t>2447925.286 </t>
  </si>
  <si>
    <t> 02.02.1990 18:51 </t>
  </si>
  <si>
    <t> 0.080 </t>
  </si>
  <si>
    <t>2447933.366 </t>
  </si>
  <si>
    <t> 10.02.1990 20:47 </t>
  </si>
  <si>
    <t> 0.087 </t>
  </si>
  <si>
    <t>2447941.424 </t>
  </si>
  <si>
    <t> 18.02.1990 22:10 </t>
  </si>
  <si>
    <t> 0.072 </t>
  </si>
  <si>
    <t>2447946.294 </t>
  </si>
  <si>
    <t> 23.02.1990 19:03 </t>
  </si>
  <si>
    <t> 0.098 </t>
  </si>
  <si>
    <t>2447954.341 </t>
  </si>
  <si>
    <t> 03.03.1990 20:11 </t>
  </si>
  <si>
    <t>2447967.269 </t>
  </si>
  <si>
    <t> 16.03.1990 18:27 </t>
  </si>
  <si>
    <t> 0.082 </t>
  </si>
  <si>
    <t>2448180.366 </t>
  </si>
  <si>
    <t> 15.10.1990 20:47 </t>
  </si>
  <si>
    <t> 0.047 </t>
  </si>
  <si>
    <t>2448188.4375 </t>
  </si>
  <si>
    <t> 23.10.1990 22:30 </t>
  </si>
  <si>
    <t> 0.0453 </t>
  </si>
  <si>
    <t>2448206.197 </t>
  </si>
  <si>
    <t> 10.11.1990 16:43 </t>
  </si>
  <si>
    <t> 0.044 </t>
  </si>
  <si>
    <t>2448700.309 </t>
  </si>
  <si>
    <t> 18.03.1992 19:24 </t>
  </si>
  <si>
    <t> 0.076 </t>
  </si>
  <si>
    <t> BBS 101 </t>
  </si>
  <si>
    <t>2449788.297 </t>
  </si>
  <si>
    <t> 11.03.1995 19:07 </t>
  </si>
  <si>
    <t> -0.203 </t>
  </si>
  <si>
    <t>2450148.308 </t>
  </si>
  <si>
    <t> 05.03.1996 19:23 </t>
  </si>
  <si>
    <t> -0.257 </t>
  </si>
  <si>
    <t>2450437.559 </t>
  </si>
  <si>
    <t> 20.12.1996 01:24 </t>
  </si>
  <si>
    <t> S.Cook </t>
  </si>
  <si>
    <t>JAAVSO 36(2);171 </t>
  </si>
  <si>
    <t>2452657.0540 </t>
  </si>
  <si>
    <t> 17.01.2003 13:17 </t>
  </si>
  <si>
    <t> 0.1456 </t>
  </si>
  <si>
    <t>VSB 42 </t>
  </si>
  <si>
    <t>2452689.352 </t>
  </si>
  <si>
    <t> 18.02.2003 20:26 </t>
  </si>
  <si>
    <t> 0.151 </t>
  </si>
  <si>
    <t> R.Meyer </t>
  </si>
  <si>
    <t>BAVM 157 </t>
  </si>
  <si>
    <t>2453028.354 </t>
  </si>
  <si>
    <t> 23.01.2004 20:29 </t>
  </si>
  <si>
    <t> 0.078 </t>
  </si>
  <si>
    <t>BAVM 171 </t>
  </si>
  <si>
    <t>2453344.7797 </t>
  </si>
  <si>
    <t> 05.12.2004 06:42 </t>
  </si>
  <si>
    <t> 0.0346 </t>
  </si>
  <si>
    <t> Smith &amp; Caton </t>
  </si>
  <si>
    <t>IBVS 5745 </t>
  </si>
  <si>
    <t>2453441.6451 </t>
  </si>
  <si>
    <t> 12.03.2005 03:28 </t>
  </si>
  <si>
    <t> 0.0216 </t>
  </si>
  <si>
    <t> R. Nelson </t>
  </si>
  <si>
    <t>IBVS 5672 </t>
  </si>
  <si>
    <t>2454447.4029 </t>
  </si>
  <si>
    <t> 12.12.2007 21:40 </t>
  </si>
  <si>
    <t> -0.1413 </t>
  </si>
  <si>
    <t>2454447.403 </t>
  </si>
  <si>
    <t> -0.141 </t>
  </si>
  <si>
    <t>2454455.4741 </t>
  </si>
  <si>
    <t> 20.12.2007 23:22 </t>
  </si>
  <si>
    <t> -0.1433 </t>
  </si>
  <si>
    <t>2454476.4621 </t>
  </si>
  <si>
    <t> 10.01.2008 23:05 </t>
  </si>
  <si>
    <t>16285.5</t>
  </si>
  <si>
    <t> -0.1456 </t>
  </si>
  <si>
    <t>2454820.3277 </t>
  </si>
  <si>
    <t> 19.12.2008 19:51 </t>
  </si>
  <si>
    <t>16498.5</t>
  </si>
  <si>
    <t> -0.1983 </t>
  </si>
  <si>
    <t> U.Schmidt </t>
  </si>
  <si>
    <t>2454831.6283 </t>
  </si>
  <si>
    <t> 31.12.2008 03:04 </t>
  </si>
  <si>
    <t>16505.5</t>
  </si>
  <si>
    <t> -0.2002 </t>
  </si>
  <si>
    <t>IBVS 5871 </t>
  </si>
  <si>
    <t>2454862.2986 </t>
  </si>
  <si>
    <t> 30.01.2009 19:09 </t>
  </si>
  <si>
    <t>16524.5</t>
  </si>
  <si>
    <t> -0.2081 </t>
  </si>
  <si>
    <t>2455559.7167 </t>
  </si>
  <si>
    <t> 29.12.2010 05:12 </t>
  </si>
  <si>
    <t>16956.5</t>
  </si>
  <si>
    <t> -0.3145 </t>
  </si>
  <si>
    <t>2455940.7078 </t>
  </si>
  <si>
    <t> 14.01.2012 04:59 </t>
  </si>
  <si>
    <t>17192.5</t>
  </si>
  <si>
    <t> -0.3784 </t>
  </si>
  <si>
    <t>IBVS 6029 </t>
  </si>
  <si>
    <t>2456596.1479 </t>
  </si>
  <si>
    <t> 30.10.2013 15:32 </t>
  </si>
  <si>
    <t>17598.5</t>
  </si>
  <si>
    <t> -0.4821 </t>
  </si>
  <si>
    <t>2456654.2669 </t>
  </si>
  <si>
    <t> 27.12.2013 18:24 </t>
  </si>
  <si>
    <t>17634.5</t>
  </si>
  <si>
    <t> -0.4902 </t>
  </si>
  <si>
    <t>2456729.3315 </t>
  </si>
  <si>
    <t> 12.03.2014 19:57 </t>
  </si>
  <si>
    <t>17681</t>
  </si>
  <si>
    <t> -0.5063 </t>
  </si>
  <si>
    <t>BAVM 238 </t>
  </si>
  <si>
    <t>BAD?</t>
  </si>
  <si>
    <t>IBVS 6196</t>
  </si>
  <si>
    <t>RHN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</si>
</sst>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5" fillId="0" borderId="0"/>
    <xf numFmtId="0" fontId="25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9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2" fillId="24" borderId="18" xfId="38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Tau - O-C Diagr.</a:t>
            </a:r>
          </a:p>
        </c:rich>
      </c:tx>
      <c:layout>
        <c:manualLayout>
          <c:xMode val="edge"/>
          <c:yMode val="edge"/>
          <c:x val="0.3847331449980965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5124519266251"/>
          <c:y val="0.14723926380368099"/>
          <c:w val="0.818321220718944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'!$H$21:$H$991</c:f>
              <c:numCache>
                <c:formatCode>General</c:formatCode>
                <c:ptCount val="971"/>
                <c:pt idx="0">
                  <c:v>-3.9660101720073726E-3</c:v>
                </c:pt>
                <c:pt idx="1">
                  <c:v>2.3034557452774607E-2</c:v>
                </c:pt>
                <c:pt idx="2">
                  <c:v>4.0495910543540958E-3</c:v>
                </c:pt>
                <c:pt idx="3">
                  <c:v>0.14586744032203569</c:v>
                </c:pt>
                <c:pt idx="4">
                  <c:v>0.15357342284551123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CE-4419-B854-5ABF66D73197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'!$D$21:$D$991</c:f>
                <c:numCache>
                  <c:formatCode>General</c:formatCode>
                  <c:ptCount val="9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'!$D$21:$D$991</c:f>
                <c:numCache>
                  <c:formatCode>General</c:formatCode>
                  <c:ptCount val="9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'!$I$21:$I$991</c:f>
              <c:numCache>
                <c:formatCode>General</c:formatCode>
                <c:ptCount val="971"/>
                <c:pt idx="10">
                  <c:v>-0.1459092138466076</c:v>
                </c:pt>
                <c:pt idx="11">
                  <c:v>-0.14901837168144993</c:v>
                </c:pt>
                <c:pt idx="12">
                  <c:v>-0.15227779787528561</c:v>
                </c:pt>
                <c:pt idx="13">
                  <c:v>-0.14425256393587915</c:v>
                </c:pt>
                <c:pt idx="14">
                  <c:v>-0.15822733000823064</c:v>
                </c:pt>
                <c:pt idx="15">
                  <c:v>-0.13141218965029111</c:v>
                </c:pt>
                <c:pt idx="16">
                  <c:v>-0.15638695571396966</c:v>
                </c:pt>
                <c:pt idx="17">
                  <c:v>-0.1435465814138297</c:v>
                </c:pt>
                <c:pt idx="18">
                  <c:v>-0.14668040555989137</c:v>
                </c:pt>
                <c:pt idx="20">
                  <c:v>-0.14599965697561856</c:v>
                </c:pt>
                <c:pt idx="22">
                  <c:v>-0.15305380595236784</c:v>
                </c:pt>
                <c:pt idx="23">
                  <c:v>-0.15212837250874145</c:v>
                </c:pt>
                <c:pt idx="25">
                  <c:v>-0.17588566587801324</c:v>
                </c:pt>
                <c:pt idx="26">
                  <c:v>-0.1657847301394213</c:v>
                </c:pt>
                <c:pt idx="27">
                  <c:v>-0.18672490491735516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CE-4419-B854-5ABF66D73197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'!$D$21:$D$40</c:f>
                <c:numCache>
                  <c:formatCode>General</c:formatCode>
                  <c:ptCount val="20"/>
                  <c:pt idx="5">
                    <c:v>0</c:v>
                  </c:pt>
                </c:numCache>
              </c:numRef>
            </c:plus>
            <c:minus>
              <c:numRef>
                <c:f>'Active '!$D$21:$D$40</c:f>
                <c:numCache>
                  <c:formatCode>General</c:formatCode>
                  <c:ptCount val="20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'!$J$21:$J$991</c:f>
              <c:numCache>
                <c:formatCode>General</c:formatCode>
                <c:ptCount val="971"/>
                <c:pt idx="19">
                  <c:v>-0.14715517163131153</c:v>
                </c:pt>
                <c:pt idx="32">
                  <c:v>-0.19176354541559704</c:v>
                </c:pt>
                <c:pt idx="33">
                  <c:v>-0.19089793718740111</c:v>
                </c:pt>
                <c:pt idx="40">
                  <c:v>-0.20488982184178894</c:v>
                </c:pt>
                <c:pt idx="41">
                  <c:v>-0.20965514626004733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CE-4419-B854-5ABF66D73197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'!$K$21:$K$991</c:f>
              <c:numCache>
                <c:formatCode>General</c:formatCode>
                <c:ptCount val="971"/>
                <c:pt idx="28">
                  <c:v>-0.1824357347068144</c:v>
                </c:pt>
                <c:pt idx="29">
                  <c:v>-0.18073292749613756</c:v>
                </c:pt>
                <c:pt idx="30">
                  <c:v>-0.19098877934447955</c:v>
                </c:pt>
                <c:pt idx="31">
                  <c:v>-0.19088877934700577</c:v>
                </c:pt>
                <c:pt idx="34">
                  <c:v>-0.19142297160578892</c:v>
                </c:pt>
                <c:pt idx="35">
                  <c:v>-0.19158764410531148</c:v>
                </c:pt>
                <c:pt idx="36">
                  <c:v>-0.19479175515152747</c:v>
                </c:pt>
                <c:pt idx="37">
                  <c:v>-0.1953115432697814</c:v>
                </c:pt>
                <c:pt idx="38">
                  <c:v>-0.20142050159483915</c:v>
                </c:pt>
                <c:pt idx="39">
                  <c:v>-0.20567150616261642</c:v>
                </c:pt>
                <c:pt idx="42">
                  <c:v>-0.20956923566700425</c:v>
                </c:pt>
                <c:pt idx="43">
                  <c:v>-0.21463265769125428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CE-4419-B854-5ABF66D73197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CE-4419-B854-5ABF66D73197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CE-4419-B854-5ABF66D73197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CE-4419-B854-5ABF66D73197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'!$O$21:$O$991</c:f>
              <c:numCache>
                <c:formatCode>General</c:formatCode>
                <c:ptCount val="971"/>
                <c:pt idx="11">
                  <c:v>-0.14020684850517023</c:v>
                </c:pt>
                <c:pt idx="12">
                  <c:v>-0.1428173748616596</c:v>
                </c:pt>
                <c:pt idx="13">
                  <c:v>-0.14287512986954651</c:v>
                </c:pt>
                <c:pt idx="14">
                  <c:v>-0.14293288487743344</c:v>
                </c:pt>
                <c:pt idx="15">
                  <c:v>-0.14296753788216562</c:v>
                </c:pt>
                <c:pt idx="16">
                  <c:v>-0.14302529289005256</c:v>
                </c:pt>
                <c:pt idx="17">
                  <c:v>-0.14311770090267165</c:v>
                </c:pt>
                <c:pt idx="18">
                  <c:v>-0.14464243311088665</c:v>
                </c:pt>
                <c:pt idx="19">
                  <c:v>-0.14470018811877358</c:v>
                </c:pt>
                <c:pt idx="20">
                  <c:v>-0.14482724913612485</c:v>
                </c:pt>
                <c:pt idx="21">
                  <c:v>-0.14836185561880513</c:v>
                </c:pt>
                <c:pt idx="22">
                  <c:v>-0.15614723068196365</c:v>
                </c:pt>
                <c:pt idx="23">
                  <c:v>-0.15872310403372084</c:v>
                </c:pt>
                <c:pt idx="24">
                  <c:v>-0.16079073331607302</c:v>
                </c:pt>
                <c:pt idx="25">
                  <c:v>-0.1766733604849795</c:v>
                </c:pt>
                <c:pt idx="26">
                  <c:v>-0.17690438051652724</c:v>
                </c:pt>
                <c:pt idx="27">
                  <c:v>-0.1793300908477784</c:v>
                </c:pt>
                <c:pt idx="28">
                  <c:v>-0.18159408715694617</c:v>
                </c:pt>
                <c:pt idx="29">
                  <c:v>-0.18228714725158934</c:v>
                </c:pt>
                <c:pt idx="30">
                  <c:v>-0.18948342123430115</c:v>
                </c:pt>
                <c:pt idx="31">
                  <c:v>-0.18948342123430115</c:v>
                </c:pt>
                <c:pt idx="32">
                  <c:v>-0.18954117624218808</c:v>
                </c:pt>
                <c:pt idx="33">
                  <c:v>-0.1896913392626941</c:v>
                </c:pt>
                <c:pt idx="34">
                  <c:v>-0.19215170259867745</c:v>
                </c:pt>
                <c:pt idx="35">
                  <c:v>-0.19223255960971916</c:v>
                </c:pt>
                <c:pt idx="36">
                  <c:v>-0.19245202863968949</c:v>
                </c:pt>
                <c:pt idx="37">
                  <c:v>-0.19744206132112047</c:v>
                </c:pt>
                <c:pt idx="38">
                  <c:v>-0.2001680976933837</c:v>
                </c:pt>
                <c:pt idx="39">
                  <c:v>-0.20485780433380263</c:v>
                </c:pt>
                <c:pt idx="40">
                  <c:v>-0.20527364039058854</c:v>
                </c:pt>
                <c:pt idx="41">
                  <c:v>-0.20581076196393702</c:v>
                </c:pt>
                <c:pt idx="42">
                  <c:v>-0.2103560810846386</c:v>
                </c:pt>
                <c:pt idx="43">
                  <c:v>-0.21753502856498433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CE-4419-B854-5ABF66D73197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'!$U$21:$U$993</c:f>
              <c:numCache>
                <c:formatCode>General</c:formatCode>
                <c:ptCount val="973"/>
                <c:pt idx="6">
                  <c:v>0.2056067834928399</c:v>
                </c:pt>
                <c:pt idx="7">
                  <c:v>-2.9176165291573852E-2</c:v>
                </c:pt>
                <c:pt idx="8">
                  <c:v>9.346460802044021E-2</c:v>
                </c:pt>
                <c:pt idx="9">
                  <c:v>0.14618108315335121</c:v>
                </c:pt>
                <c:pt idx="21">
                  <c:v>-3.8855340222653467E-2</c:v>
                </c:pt>
                <c:pt idx="24">
                  <c:v>0.12217500233236933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CE-4419-B854-5ABF66D73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564216"/>
        <c:axId val="1"/>
      </c:scatterChart>
      <c:valAx>
        <c:axId val="7755642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644427080202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5496183206106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564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20626715553684"/>
          <c:y val="0.92024539877300615"/>
          <c:w val="0.7343516258940916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Tau - O-C Diagr.</a:t>
            </a:r>
          </a:p>
        </c:rich>
      </c:tx>
      <c:layout>
        <c:manualLayout>
          <c:xMode val="edge"/>
          <c:yMode val="edge"/>
          <c:x val="0.3841463414634146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4634146341464"/>
          <c:y val="0.14678942920199375"/>
          <c:w val="0.81554878048780488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'!$H$21:$H$991</c:f>
              <c:numCache>
                <c:formatCode>General</c:formatCode>
                <c:ptCount val="971"/>
                <c:pt idx="0">
                  <c:v>-3.9660101720073726E-3</c:v>
                </c:pt>
                <c:pt idx="1">
                  <c:v>2.3034557452774607E-2</c:v>
                </c:pt>
                <c:pt idx="2">
                  <c:v>4.0495910543540958E-3</c:v>
                </c:pt>
                <c:pt idx="3">
                  <c:v>0.14586744032203569</c:v>
                </c:pt>
                <c:pt idx="4">
                  <c:v>0.15357342284551123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71-4E50-9F92-9D5C70DC1559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'!$D$21:$D$991</c:f>
                <c:numCache>
                  <c:formatCode>General</c:formatCode>
                  <c:ptCount val="9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'!$D$21:$D$991</c:f>
                <c:numCache>
                  <c:formatCode>General</c:formatCode>
                  <c:ptCount val="9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'!$I$21:$I$991</c:f>
              <c:numCache>
                <c:formatCode>General</c:formatCode>
                <c:ptCount val="971"/>
                <c:pt idx="10">
                  <c:v>-0.1459092138466076</c:v>
                </c:pt>
                <c:pt idx="11">
                  <c:v>-0.14901837168144993</c:v>
                </c:pt>
                <c:pt idx="12">
                  <c:v>-0.15227779787528561</c:v>
                </c:pt>
                <c:pt idx="13">
                  <c:v>-0.14425256393587915</c:v>
                </c:pt>
                <c:pt idx="14">
                  <c:v>-0.15822733000823064</c:v>
                </c:pt>
                <c:pt idx="15">
                  <c:v>-0.13141218965029111</c:v>
                </c:pt>
                <c:pt idx="16">
                  <c:v>-0.15638695571396966</c:v>
                </c:pt>
                <c:pt idx="17">
                  <c:v>-0.1435465814138297</c:v>
                </c:pt>
                <c:pt idx="18">
                  <c:v>-0.14668040555989137</c:v>
                </c:pt>
                <c:pt idx="20">
                  <c:v>-0.14599965697561856</c:v>
                </c:pt>
                <c:pt idx="22">
                  <c:v>-0.15305380595236784</c:v>
                </c:pt>
                <c:pt idx="23">
                  <c:v>-0.15212837250874145</c:v>
                </c:pt>
                <c:pt idx="25">
                  <c:v>-0.17588566587801324</c:v>
                </c:pt>
                <c:pt idx="26">
                  <c:v>-0.1657847301394213</c:v>
                </c:pt>
                <c:pt idx="27">
                  <c:v>-0.18672490491735516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71-4E50-9F92-9D5C70DC1559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'!$D$21:$D$40</c:f>
                <c:numCache>
                  <c:formatCode>General</c:formatCode>
                  <c:ptCount val="20"/>
                  <c:pt idx="5">
                    <c:v>0</c:v>
                  </c:pt>
                </c:numCache>
              </c:numRef>
            </c:plus>
            <c:minus>
              <c:numRef>
                <c:f>'Active '!$D$21:$D$40</c:f>
                <c:numCache>
                  <c:formatCode>General</c:formatCode>
                  <c:ptCount val="20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'!$J$21:$J$991</c:f>
              <c:numCache>
                <c:formatCode>General</c:formatCode>
                <c:ptCount val="971"/>
                <c:pt idx="19">
                  <c:v>-0.14715517163131153</c:v>
                </c:pt>
                <c:pt idx="32">
                  <c:v>-0.19176354541559704</c:v>
                </c:pt>
                <c:pt idx="33">
                  <c:v>-0.19089793718740111</c:v>
                </c:pt>
                <c:pt idx="40">
                  <c:v>-0.20488982184178894</c:v>
                </c:pt>
                <c:pt idx="41">
                  <c:v>-0.20965514626004733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71-4E50-9F92-9D5C70DC1559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'!$K$21:$K$991</c:f>
              <c:numCache>
                <c:formatCode>General</c:formatCode>
                <c:ptCount val="971"/>
                <c:pt idx="28">
                  <c:v>-0.1824357347068144</c:v>
                </c:pt>
                <c:pt idx="29">
                  <c:v>-0.18073292749613756</c:v>
                </c:pt>
                <c:pt idx="30">
                  <c:v>-0.19098877934447955</c:v>
                </c:pt>
                <c:pt idx="31">
                  <c:v>-0.19088877934700577</c:v>
                </c:pt>
                <c:pt idx="34">
                  <c:v>-0.19142297160578892</c:v>
                </c:pt>
                <c:pt idx="35">
                  <c:v>-0.19158764410531148</c:v>
                </c:pt>
                <c:pt idx="36">
                  <c:v>-0.19479175515152747</c:v>
                </c:pt>
                <c:pt idx="37">
                  <c:v>-0.1953115432697814</c:v>
                </c:pt>
                <c:pt idx="38">
                  <c:v>-0.20142050159483915</c:v>
                </c:pt>
                <c:pt idx="39">
                  <c:v>-0.20567150616261642</c:v>
                </c:pt>
                <c:pt idx="42">
                  <c:v>-0.20956923566700425</c:v>
                </c:pt>
                <c:pt idx="43">
                  <c:v>-0.21463265769125428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71-4E50-9F92-9D5C70DC1559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71-4E50-9F92-9D5C70DC1559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71-4E50-9F92-9D5C70DC1559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'Active '!$D$21:$D$91</c:f>
                <c:numCache>
                  <c:formatCode>General</c:formatCode>
                  <c:ptCount val="71"/>
                  <c:pt idx="5">
                    <c:v>0</c:v>
                  </c:pt>
                  <c:pt idx="21">
                    <c:v>6.0000000000000001E-3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0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1.6999999999999999E-3</c:v>
                  </c:pt>
                  <c:pt idx="35">
                    <c:v>2.9999999999999997E-4</c:v>
                  </c:pt>
                  <c:pt idx="37">
                    <c:v>1E-3</c:v>
                  </c:pt>
                  <c:pt idx="38">
                    <c:v>2.0000000000000001E-4</c:v>
                  </c:pt>
                  <c:pt idx="40">
                    <c:v>2.5999999999999999E-3</c:v>
                  </c:pt>
                  <c:pt idx="41">
                    <c:v>1.6999999999999999E-3</c:v>
                  </c:pt>
                  <c:pt idx="42">
                    <c:v>4.4000000000000003E-3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71-4E50-9F92-9D5C70DC1559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'!$F$21:$F$991</c:f>
              <c:numCache>
                <c:formatCode>General</c:formatCode>
                <c:ptCount val="971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'!$O$21:$O$991</c:f>
              <c:numCache>
                <c:formatCode>General</c:formatCode>
                <c:ptCount val="971"/>
                <c:pt idx="11">
                  <c:v>-0.14020684850517023</c:v>
                </c:pt>
                <c:pt idx="12">
                  <c:v>-0.1428173748616596</c:v>
                </c:pt>
                <c:pt idx="13">
                  <c:v>-0.14287512986954651</c:v>
                </c:pt>
                <c:pt idx="14">
                  <c:v>-0.14293288487743344</c:v>
                </c:pt>
                <c:pt idx="15">
                  <c:v>-0.14296753788216562</c:v>
                </c:pt>
                <c:pt idx="16">
                  <c:v>-0.14302529289005256</c:v>
                </c:pt>
                <c:pt idx="17">
                  <c:v>-0.14311770090267165</c:v>
                </c:pt>
                <c:pt idx="18">
                  <c:v>-0.14464243311088665</c:v>
                </c:pt>
                <c:pt idx="19">
                  <c:v>-0.14470018811877358</c:v>
                </c:pt>
                <c:pt idx="20">
                  <c:v>-0.14482724913612485</c:v>
                </c:pt>
                <c:pt idx="21">
                  <c:v>-0.14836185561880513</c:v>
                </c:pt>
                <c:pt idx="22">
                  <c:v>-0.15614723068196365</c:v>
                </c:pt>
                <c:pt idx="23">
                  <c:v>-0.15872310403372084</c:v>
                </c:pt>
                <c:pt idx="24">
                  <c:v>-0.16079073331607302</c:v>
                </c:pt>
                <c:pt idx="25">
                  <c:v>-0.1766733604849795</c:v>
                </c:pt>
                <c:pt idx="26">
                  <c:v>-0.17690438051652724</c:v>
                </c:pt>
                <c:pt idx="27">
                  <c:v>-0.1793300908477784</c:v>
                </c:pt>
                <c:pt idx="28">
                  <c:v>-0.18159408715694617</c:v>
                </c:pt>
                <c:pt idx="29">
                  <c:v>-0.18228714725158934</c:v>
                </c:pt>
                <c:pt idx="30">
                  <c:v>-0.18948342123430115</c:v>
                </c:pt>
                <c:pt idx="31">
                  <c:v>-0.18948342123430115</c:v>
                </c:pt>
                <c:pt idx="32">
                  <c:v>-0.18954117624218808</c:v>
                </c:pt>
                <c:pt idx="33">
                  <c:v>-0.1896913392626941</c:v>
                </c:pt>
                <c:pt idx="34">
                  <c:v>-0.19215170259867745</c:v>
                </c:pt>
                <c:pt idx="35">
                  <c:v>-0.19223255960971916</c:v>
                </c:pt>
                <c:pt idx="36">
                  <c:v>-0.19245202863968949</c:v>
                </c:pt>
                <c:pt idx="37">
                  <c:v>-0.19744206132112047</c:v>
                </c:pt>
                <c:pt idx="38">
                  <c:v>-0.2001680976933837</c:v>
                </c:pt>
                <c:pt idx="39">
                  <c:v>-0.20485780433380263</c:v>
                </c:pt>
                <c:pt idx="40">
                  <c:v>-0.20527364039058854</c:v>
                </c:pt>
                <c:pt idx="41">
                  <c:v>-0.20581076196393702</c:v>
                </c:pt>
                <c:pt idx="42">
                  <c:v>-0.2103560810846386</c:v>
                </c:pt>
                <c:pt idx="43">
                  <c:v>-0.21753502856498433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71-4E50-9F92-9D5C70DC1559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-6968</c:v>
                </c:pt>
                <c:pt idx="1">
                  <c:v>-6849</c:v>
                </c:pt>
                <c:pt idx="2">
                  <c:v>-5459</c:v>
                </c:pt>
                <c:pt idx="3">
                  <c:v>-2245.5</c:v>
                </c:pt>
                <c:pt idx="4">
                  <c:v>-2224.5</c:v>
                </c:pt>
                <c:pt idx="5">
                  <c:v>0</c:v>
                </c:pt>
                <c:pt idx="6">
                  <c:v>7412</c:v>
                </c:pt>
                <c:pt idx="7">
                  <c:v>9753.5</c:v>
                </c:pt>
                <c:pt idx="8">
                  <c:v>10197.5</c:v>
                </c:pt>
                <c:pt idx="9">
                  <c:v>10656.5</c:v>
                </c:pt>
                <c:pt idx="10">
                  <c:v>11986</c:v>
                </c:pt>
                <c:pt idx="11">
                  <c:v>12004</c:v>
                </c:pt>
                <c:pt idx="12">
                  <c:v>12230</c:v>
                </c:pt>
                <c:pt idx="13">
                  <c:v>12235</c:v>
                </c:pt>
                <c:pt idx="14">
                  <c:v>12240</c:v>
                </c:pt>
                <c:pt idx="15">
                  <c:v>12243</c:v>
                </c:pt>
                <c:pt idx="16">
                  <c:v>12248</c:v>
                </c:pt>
                <c:pt idx="17">
                  <c:v>12256</c:v>
                </c:pt>
                <c:pt idx="18">
                  <c:v>12388</c:v>
                </c:pt>
                <c:pt idx="19">
                  <c:v>12393</c:v>
                </c:pt>
                <c:pt idx="20">
                  <c:v>12404</c:v>
                </c:pt>
                <c:pt idx="21">
                  <c:v>12710</c:v>
                </c:pt>
                <c:pt idx="22">
                  <c:v>13384</c:v>
                </c:pt>
                <c:pt idx="23">
                  <c:v>13607</c:v>
                </c:pt>
                <c:pt idx="24">
                  <c:v>13786</c:v>
                </c:pt>
                <c:pt idx="25">
                  <c:v>15161</c:v>
                </c:pt>
                <c:pt idx="26">
                  <c:v>15181</c:v>
                </c:pt>
                <c:pt idx="27">
                  <c:v>15391</c:v>
                </c:pt>
                <c:pt idx="28">
                  <c:v>15587</c:v>
                </c:pt>
                <c:pt idx="29">
                  <c:v>15647</c:v>
                </c:pt>
                <c:pt idx="30">
                  <c:v>16270</c:v>
                </c:pt>
                <c:pt idx="31">
                  <c:v>16270</c:v>
                </c:pt>
                <c:pt idx="32">
                  <c:v>16275</c:v>
                </c:pt>
                <c:pt idx="33">
                  <c:v>16288</c:v>
                </c:pt>
                <c:pt idx="34">
                  <c:v>16501</c:v>
                </c:pt>
                <c:pt idx="35">
                  <c:v>16508</c:v>
                </c:pt>
                <c:pt idx="36">
                  <c:v>16527</c:v>
                </c:pt>
                <c:pt idx="37">
                  <c:v>16959</c:v>
                </c:pt>
                <c:pt idx="38">
                  <c:v>17195</c:v>
                </c:pt>
                <c:pt idx="39">
                  <c:v>17601</c:v>
                </c:pt>
                <c:pt idx="40">
                  <c:v>17637</c:v>
                </c:pt>
                <c:pt idx="41">
                  <c:v>17683.5</c:v>
                </c:pt>
                <c:pt idx="42">
                  <c:v>18077</c:v>
                </c:pt>
                <c:pt idx="43">
                  <c:v>18698.5</c:v>
                </c:pt>
              </c:numCache>
            </c:numRef>
          </c:xVal>
          <c:yVal>
            <c:numRef>
              <c:f>'Active '!$U$21:$U$993</c:f>
              <c:numCache>
                <c:formatCode>General</c:formatCode>
                <c:ptCount val="973"/>
                <c:pt idx="6">
                  <c:v>0.2056067834928399</c:v>
                </c:pt>
                <c:pt idx="7">
                  <c:v>-2.9176165291573852E-2</c:v>
                </c:pt>
                <c:pt idx="8">
                  <c:v>9.346460802044021E-2</c:v>
                </c:pt>
                <c:pt idx="9">
                  <c:v>0.14618108315335121</c:v>
                </c:pt>
                <c:pt idx="21">
                  <c:v>-3.8855340222653467E-2</c:v>
                </c:pt>
                <c:pt idx="24">
                  <c:v>0.12217500233236933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71-4E50-9F92-9D5C70DC1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97920"/>
        <c:axId val="1"/>
      </c:scatterChart>
      <c:valAx>
        <c:axId val="712597920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4146341463417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8048780487805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9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92682926829268"/>
          <c:y val="0.9204921861831491"/>
          <c:w val="0.7332317073170733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Tau - O-C Diagr.</a:t>
            </a:r>
          </a:p>
        </c:rich>
      </c:tx>
      <c:layout>
        <c:manualLayout>
          <c:xMode val="edge"/>
          <c:yMode val="edge"/>
          <c:x val="0.3743763893074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5"/>
          <c:w val="0.80366121865674611"/>
          <c:h val="0.65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8-48EC-8895-FC3FBB7A775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3.9600000018253922E-3</c:v>
                </c:pt>
                <c:pt idx="2">
                  <c:v>2.7200000040465966E-3</c:v>
                </c:pt>
                <c:pt idx="3">
                  <c:v>1.6559999996388797E-2</c:v>
                </c:pt>
                <c:pt idx="4">
                  <c:v>-4.3200000000069849E-2</c:v>
                </c:pt>
                <c:pt idx="5">
                  <c:v>0.14623999999457737</c:v>
                </c:pt>
                <c:pt idx="6">
                  <c:v>8.007999999972526E-2</c:v>
                </c:pt>
                <c:pt idx="7">
                  <c:v>7.1680000000924338E-2</c:v>
                </c:pt>
                <c:pt idx="8">
                  <c:v>9.7759999996924307E-2</c:v>
                </c:pt>
                <c:pt idx="9">
                  <c:v>7.1559999996679835E-2</c:v>
                </c:pt>
                <c:pt idx="10">
                  <c:v>7.587999999668682E-2</c:v>
                </c:pt>
                <c:pt idx="11">
                  <c:v>-0.20348000000376487</c:v>
                </c:pt>
                <c:pt idx="12">
                  <c:v>-0.25720000000001164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8-48EC-8895-FC3FBB7A775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14">
                  <c:v>2.162000000680564E-2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68-48EC-8895-FC3FBB7A775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13">
                  <c:v>3.4619999998540152E-2</c:v>
                </c:pt>
                <c:pt idx="15">
                  <c:v>-0.1433000000033644</c:v>
                </c:pt>
                <c:pt idx="16">
                  <c:v>-0.14562000000296393</c:v>
                </c:pt>
                <c:pt idx="17">
                  <c:v>-0.20021999999880791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68-48EC-8895-FC3FBB7A775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68-48EC-8895-FC3FBB7A775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68-48EC-8895-FC3FBB7A775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0">
                    <c:v>6.0000000000000001E-3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1E-4</c:v>
                  </c:pt>
                  <c:pt idx="14">
                    <c:v>2.0000000000000001E-4</c:v>
                  </c:pt>
                  <c:pt idx="15">
                    <c:v>1E-3</c:v>
                  </c:pt>
                  <c:pt idx="16">
                    <c:v>1.6999999999999999E-3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68-48EC-8895-FC3FBB7A775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7411</c:v>
                </c:pt>
                <c:pt idx="2">
                  <c:v>9752</c:v>
                </c:pt>
                <c:pt idx="3">
                  <c:v>10196</c:v>
                </c:pt>
                <c:pt idx="4">
                  <c:v>10655</c:v>
                </c:pt>
                <c:pt idx="5">
                  <c:v>11984</c:v>
                </c:pt>
                <c:pt idx="6">
                  <c:v>12228</c:v>
                </c:pt>
                <c:pt idx="7">
                  <c:v>12238</c:v>
                </c:pt>
                <c:pt idx="8">
                  <c:v>12241</c:v>
                </c:pt>
                <c:pt idx="9">
                  <c:v>12246</c:v>
                </c:pt>
                <c:pt idx="10">
                  <c:v>12708</c:v>
                </c:pt>
                <c:pt idx="11">
                  <c:v>13382</c:v>
                </c:pt>
                <c:pt idx="12">
                  <c:v>13605</c:v>
                </c:pt>
                <c:pt idx="13">
                  <c:v>15584.5</c:v>
                </c:pt>
                <c:pt idx="14">
                  <c:v>15644.5</c:v>
                </c:pt>
                <c:pt idx="15">
                  <c:v>16272.5</c:v>
                </c:pt>
                <c:pt idx="16">
                  <c:v>16285.5</c:v>
                </c:pt>
                <c:pt idx="17">
                  <c:v>16505.5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9.2160606149118515E-2</c:v>
                </c:pt>
                <c:pt idx="1">
                  <c:v>2.347177216515664E-2</c:v>
                </c:pt>
                <c:pt idx="2">
                  <c:v>1.7742198299178363E-3</c:v>
                </c:pt>
                <c:pt idx="3">
                  <c:v>-2.3409930008579105E-3</c:v>
                </c:pt>
                <c:pt idx="4">
                  <c:v>-6.5952332921328377E-3</c:v>
                </c:pt>
                <c:pt idx="5">
                  <c:v>-1.8913066292360239E-2</c:v>
                </c:pt>
                <c:pt idx="6">
                  <c:v>-2.1174579649813577E-2</c:v>
                </c:pt>
                <c:pt idx="7">
                  <c:v>-2.1267264623479706E-2</c:v>
                </c:pt>
                <c:pt idx="8">
                  <c:v>-2.1295070115579545E-2</c:v>
                </c:pt>
                <c:pt idx="9">
                  <c:v>-2.1341412602412596E-2</c:v>
                </c:pt>
                <c:pt idx="10">
                  <c:v>-2.5623458385787362E-2</c:v>
                </c:pt>
                <c:pt idx="11">
                  <c:v>-3.1870425610883879E-2</c:v>
                </c:pt>
                <c:pt idx="12">
                  <c:v>-3.3937300523638372E-2</c:v>
                </c:pt>
                <c:pt idx="13">
                  <c:v>-5.2284291060846907E-2</c:v>
                </c:pt>
                <c:pt idx="14">
                  <c:v>-5.2840400902843629E-2</c:v>
                </c:pt>
                <c:pt idx="15">
                  <c:v>-5.8661017249076006E-2</c:v>
                </c:pt>
                <c:pt idx="16">
                  <c:v>-5.878150771484196E-2</c:v>
                </c:pt>
                <c:pt idx="17">
                  <c:v>-6.0820577135496615E-2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68-48EC-8895-FC3FBB7A7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244648"/>
        <c:axId val="1"/>
      </c:scatterChart>
      <c:valAx>
        <c:axId val="721244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2680528078748"/>
              <c:y val="0.868750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8437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244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309501661709922"/>
          <c:y val="0.91874999999999996"/>
          <c:w val="0.96173132268616168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66675</xdr:colOff>
      <xdr:row>18</xdr:row>
      <xdr:rowOff>19050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4372C970-1CC5-AFE2-6344-7DE01924B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266700</xdr:colOff>
      <xdr:row>0</xdr:row>
      <xdr:rowOff>1</xdr:rowOff>
    </xdr:from>
    <xdr:to>
      <xdr:col>26</xdr:col>
      <xdr:colOff>590550</xdr:colOff>
      <xdr:row>18</xdr:row>
      <xdr:rowOff>19051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A019AD4D-B755-4B47-7EB5-5BF9733E6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15</xdr:col>
      <xdr:colOff>66675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D6A81F-8582-D8EA-176B-360457A18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17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bav-astro.de/sfs/BAVM_link.php?BAVMnr=157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konkoly.hu/cgi-bin/IBVS?5871" TargetMode="External"/><Relationship Id="rId1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vsolj.cetus-net.org/no42.pdf" TargetMode="External"/><Relationship Id="rId16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aavso.org/sites/default/files/jaavso/v36n2/171.pdf" TargetMode="External"/><Relationship Id="rId6" Type="http://schemas.openxmlformats.org/officeDocument/2006/relationships/hyperlink" Target="http://www.konkoly.hu/cgi-bin/IBVS?5672" TargetMode="External"/><Relationship Id="rId11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konkoly.hu/cgi-bin/IBVS?5745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bav-astro.de/sfs/BAVM_link.php?BAVMnr=201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www.bav-astro.de/sfs/BAVM_link.php?BAVMnr=171" TargetMode="External"/><Relationship Id="rId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2562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68" customFormat="1" ht="20.25" x14ac:dyDescent="0.2">
      <c r="A1" s="96" t="s">
        <v>46</v>
      </c>
    </row>
    <row r="2" spans="1:6" s="68" customFormat="1" ht="12.95" customHeight="1" x14ac:dyDescent="0.2">
      <c r="A2" s="68" t="s">
        <v>24</v>
      </c>
      <c r="B2" s="69" t="s">
        <v>45</v>
      </c>
      <c r="D2" s="70" t="s">
        <v>62</v>
      </c>
    </row>
    <row r="3" spans="1:6" s="68" customFormat="1" ht="12.95" customHeight="1" thickBot="1" x14ac:dyDescent="0.25"/>
    <row r="4" spans="1:6" s="68" customFormat="1" ht="12.95" customHeight="1" thickTop="1" thickBot="1" x14ac:dyDescent="0.25">
      <c r="A4" s="71" t="s">
        <v>0</v>
      </c>
      <c r="C4" s="72">
        <v>28181.387999999999</v>
      </c>
      <c r="D4" s="73">
        <v>1.6146400000000001</v>
      </c>
    </row>
    <row r="5" spans="1:6" s="68" customFormat="1" ht="12.95" customHeight="1" thickTop="1" x14ac:dyDescent="0.2">
      <c r="A5" s="74" t="s">
        <v>47</v>
      </c>
      <c r="C5" s="70">
        <v>-9.5</v>
      </c>
      <c r="D5" s="68" t="s">
        <v>48</v>
      </c>
    </row>
    <row r="6" spans="1:6" s="68" customFormat="1" ht="12.95" customHeight="1" x14ac:dyDescent="0.2">
      <c r="A6" s="71" t="s">
        <v>1</v>
      </c>
    </row>
    <row r="7" spans="1:6" s="68" customFormat="1" ht="12.95" customHeight="1" x14ac:dyDescent="0.2">
      <c r="A7" s="68" t="s">
        <v>2</v>
      </c>
      <c r="C7" s="68">
        <f>+C4</f>
        <v>28181.387999999999</v>
      </c>
    </row>
    <row r="8" spans="1:6" s="68" customFormat="1" ht="12.95" customHeight="1" x14ac:dyDescent="0.2">
      <c r="A8" s="68" t="s">
        <v>3</v>
      </c>
      <c r="C8" s="68">
        <v>1.614394953213236</v>
      </c>
    </row>
    <row r="9" spans="1:6" s="68" customFormat="1" ht="12.95" customHeight="1" x14ac:dyDescent="0.2">
      <c r="A9" s="75" t="s">
        <v>57</v>
      </c>
      <c r="B9" s="76">
        <v>36</v>
      </c>
      <c r="C9" s="77" t="str">
        <f>"F"&amp;B9</f>
        <v>F36</v>
      </c>
      <c r="D9" s="78" t="str">
        <f>"G"&amp;B9</f>
        <v>G36</v>
      </c>
    </row>
    <row r="10" spans="1:6" s="68" customFormat="1" ht="12.95" customHeight="1" thickBot="1" x14ac:dyDescent="0.25">
      <c r="C10" s="79" t="s">
        <v>20</v>
      </c>
      <c r="D10" s="79" t="s">
        <v>21</v>
      </c>
    </row>
    <row r="11" spans="1:6" s="68" customFormat="1" ht="12.95" customHeight="1" x14ac:dyDescent="0.2">
      <c r="A11" s="68" t="s">
        <v>16</v>
      </c>
      <c r="C11" s="78">
        <f ca="1">INTERCEPT(INDIRECT($D$9):G990,INDIRECT($C$9):F990)</f>
        <v>-1.5486255702223672E-3</v>
      </c>
      <c r="D11" s="80"/>
    </row>
    <row r="12" spans="1:6" s="68" customFormat="1" ht="12.95" customHeight="1" x14ac:dyDescent="0.2">
      <c r="A12" s="68" t="s">
        <v>17</v>
      </c>
      <c r="C12" s="78">
        <f ca="1">SLOPE(INDIRECT($D$9):G990,INDIRECT($C$9):F990)</f>
        <v>-1.1551001577386527E-5</v>
      </c>
      <c r="D12" s="80"/>
    </row>
    <row r="13" spans="1:6" s="68" customFormat="1" ht="12.95" customHeight="1" x14ac:dyDescent="0.2">
      <c r="A13" s="68" t="s">
        <v>19</v>
      </c>
      <c r="C13" s="80" t="s">
        <v>14</v>
      </c>
    </row>
    <row r="14" spans="1:6" s="68" customFormat="1" ht="12.95" customHeight="1" x14ac:dyDescent="0.2"/>
    <row r="15" spans="1:6" s="68" customFormat="1" ht="12.95" customHeight="1" x14ac:dyDescent="0.2">
      <c r="A15" s="81" t="s">
        <v>18</v>
      </c>
      <c r="C15" s="82">
        <f ca="1">(C7+C11)+(C8+C12)*INT(MAX(F21:F3531))</f>
        <v>58367.127305928021</v>
      </c>
      <c r="E15" s="83" t="s">
        <v>64</v>
      </c>
      <c r="F15" s="70">
        <v>1</v>
      </c>
    </row>
    <row r="16" spans="1:6" s="68" customFormat="1" ht="12.95" customHeight="1" x14ac:dyDescent="0.2">
      <c r="A16" s="71" t="s">
        <v>4</v>
      </c>
      <c r="C16" s="84">
        <f ca="1">+C8+C12</f>
        <v>1.6143834022116585</v>
      </c>
      <c r="E16" s="83" t="s">
        <v>49</v>
      </c>
      <c r="F16" s="85">
        <f ca="1">NOW()+15018.5+$C$5/24</f>
        <v>60376.720609143515</v>
      </c>
    </row>
    <row r="17" spans="1:32" s="68" customFormat="1" ht="12.95" customHeight="1" thickBot="1" x14ac:dyDescent="0.25">
      <c r="A17" s="83" t="s">
        <v>44</v>
      </c>
      <c r="C17" s="68">
        <f>COUNT(C21:C2189)</f>
        <v>44</v>
      </c>
      <c r="E17" s="83" t="s">
        <v>65</v>
      </c>
      <c r="F17" s="85">
        <f ca="1">ROUND(2*(F16-$C$7)/$C$8,0)/2+F15</f>
        <v>19943.5</v>
      </c>
    </row>
    <row r="18" spans="1:32" s="68" customFormat="1" ht="12.95" customHeight="1" thickTop="1" thickBot="1" x14ac:dyDescent="0.25">
      <c r="A18" s="71" t="s">
        <v>5</v>
      </c>
      <c r="C18" s="72">
        <f ca="1">+C15</f>
        <v>58367.127305928021</v>
      </c>
      <c r="D18" s="73">
        <f ca="1">+C16</f>
        <v>1.6143834022116585</v>
      </c>
      <c r="E18" s="83" t="s">
        <v>50</v>
      </c>
      <c r="F18" s="78">
        <f ca="1">ROUND(2*(F16-$C$15)/$C$16,0)/2+F15</f>
        <v>1246</v>
      </c>
    </row>
    <row r="19" spans="1:32" s="68" customFormat="1" ht="12.95" customHeight="1" thickTop="1" x14ac:dyDescent="0.2">
      <c r="E19" s="83" t="s">
        <v>51</v>
      </c>
      <c r="F19" s="86">
        <f ca="1">+$C$15+$C$16*F18-15018.5-$C$5/24</f>
        <v>45360.544858417081</v>
      </c>
    </row>
    <row r="20" spans="1:32" s="68" customFormat="1" ht="12.95" customHeight="1" thickBot="1" x14ac:dyDescent="0.25">
      <c r="A20" s="79" t="s">
        <v>6</v>
      </c>
      <c r="B20" s="79" t="s">
        <v>7</v>
      </c>
      <c r="C20" s="79" t="s">
        <v>8</v>
      </c>
      <c r="D20" s="79" t="s">
        <v>13</v>
      </c>
      <c r="E20" s="79" t="s">
        <v>9</v>
      </c>
      <c r="F20" s="79" t="s">
        <v>10</v>
      </c>
      <c r="G20" s="79" t="s">
        <v>11</v>
      </c>
      <c r="H20" s="87" t="s">
        <v>79</v>
      </c>
      <c r="I20" s="87" t="s">
        <v>82</v>
      </c>
      <c r="J20" s="87" t="s">
        <v>76</v>
      </c>
      <c r="K20" s="87" t="s">
        <v>74</v>
      </c>
      <c r="L20" s="87" t="s">
        <v>25</v>
      </c>
      <c r="M20" s="87" t="s">
        <v>26</v>
      </c>
      <c r="N20" s="87" t="s">
        <v>27</v>
      </c>
      <c r="O20" s="87" t="s">
        <v>23</v>
      </c>
      <c r="P20" s="88" t="s">
        <v>22</v>
      </c>
      <c r="Q20" s="79" t="s">
        <v>15</v>
      </c>
      <c r="U20" s="89" t="s">
        <v>267</v>
      </c>
    </row>
    <row r="21" spans="1:32" s="68" customFormat="1" ht="12.95" customHeight="1" x14ac:dyDescent="0.2">
      <c r="A21" s="90" t="s">
        <v>118</v>
      </c>
      <c r="B21" s="91" t="s">
        <v>55</v>
      </c>
      <c r="C21" s="92">
        <v>16932.28</v>
      </c>
      <c r="D21" s="93"/>
      <c r="E21" s="68">
        <f t="shared" ref="E21:E62" si="0">+(C21-C$7)/C$8</f>
        <v>-6968.0024566542179</v>
      </c>
      <c r="F21" s="68">
        <f t="shared" ref="F21:F64" si="1">ROUND(2*E21,0)/2</f>
        <v>-6968</v>
      </c>
      <c r="G21" s="68">
        <f t="shared" ref="G21:G26" si="2">+C21-(C$7+F21*C$8)</f>
        <v>-3.9660101720073726E-3</v>
      </c>
      <c r="H21" s="68">
        <f t="shared" ref="H21:H26" si="3">+G21</f>
        <v>-3.9660101720073726E-3</v>
      </c>
      <c r="Q21" s="94">
        <f t="shared" ref="Q21:Q62" si="4">+C21-15018.5</f>
        <v>1913.7799999999988</v>
      </c>
    </row>
    <row r="22" spans="1:32" s="68" customFormat="1" ht="12.95" customHeight="1" x14ac:dyDescent="0.2">
      <c r="A22" s="90" t="s">
        <v>118</v>
      </c>
      <c r="B22" s="91" t="s">
        <v>55</v>
      </c>
      <c r="C22" s="92">
        <v>17124.419999999998</v>
      </c>
      <c r="D22" s="93"/>
      <c r="E22" s="68">
        <f t="shared" si="0"/>
        <v>-6848.985731770651</v>
      </c>
      <c r="F22" s="68">
        <f t="shared" si="1"/>
        <v>-6849</v>
      </c>
      <c r="G22" s="68">
        <f t="shared" si="2"/>
        <v>2.3034557452774607E-2</v>
      </c>
      <c r="H22" s="68">
        <f t="shared" si="3"/>
        <v>2.3034557452774607E-2</v>
      </c>
      <c r="Q22" s="94">
        <f t="shared" si="4"/>
        <v>2105.9199999999983</v>
      </c>
    </row>
    <row r="23" spans="1:32" s="68" customFormat="1" ht="12.95" customHeight="1" x14ac:dyDescent="0.2">
      <c r="A23" s="90" t="s">
        <v>118</v>
      </c>
      <c r="B23" s="91" t="s">
        <v>55</v>
      </c>
      <c r="C23" s="92">
        <v>19368.41</v>
      </c>
      <c r="D23" s="93"/>
      <c r="E23" s="68">
        <f t="shared" si="0"/>
        <v>-5458.9974915735156</v>
      </c>
      <c r="F23" s="68">
        <f t="shared" si="1"/>
        <v>-5459</v>
      </c>
      <c r="G23" s="68">
        <f t="shared" si="2"/>
        <v>4.0495910543540958E-3</v>
      </c>
      <c r="H23" s="68">
        <f t="shared" si="3"/>
        <v>4.0495910543540958E-3</v>
      </c>
      <c r="Q23" s="94">
        <f t="shared" si="4"/>
        <v>4349.91</v>
      </c>
    </row>
    <row r="24" spans="1:32" s="68" customFormat="1" ht="12.95" customHeight="1" x14ac:dyDescent="0.2">
      <c r="A24" s="90" t="s">
        <v>128</v>
      </c>
      <c r="B24" s="91" t="s">
        <v>55</v>
      </c>
      <c r="C24" s="92">
        <v>24556.41</v>
      </c>
      <c r="D24" s="93"/>
      <c r="E24" s="68">
        <f t="shared" si="0"/>
        <v>-2245.4096457530222</v>
      </c>
      <c r="F24" s="68">
        <f t="shared" si="1"/>
        <v>-2245.5</v>
      </c>
      <c r="G24" s="68">
        <f t="shared" si="2"/>
        <v>0.14586744032203569</v>
      </c>
      <c r="H24" s="68">
        <f t="shared" si="3"/>
        <v>0.14586744032203569</v>
      </c>
      <c r="Q24" s="94">
        <f t="shared" si="4"/>
        <v>9537.91</v>
      </c>
    </row>
    <row r="25" spans="1:32" s="68" customFormat="1" ht="12.95" customHeight="1" x14ac:dyDescent="0.2">
      <c r="A25" s="90" t="s">
        <v>128</v>
      </c>
      <c r="B25" s="91" t="s">
        <v>55</v>
      </c>
      <c r="C25" s="92">
        <v>24590.32</v>
      </c>
      <c r="D25" s="93"/>
      <c r="E25" s="68">
        <f t="shared" si="0"/>
        <v>-2224.4048724585405</v>
      </c>
      <c r="F25" s="68">
        <f t="shared" si="1"/>
        <v>-2224.5</v>
      </c>
      <c r="G25" s="68">
        <f t="shared" si="2"/>
        <v>0.15357342284551123</v>
      </c>
      <c r="H25" s="68">
        <f t="shared" si="3"/>
        <v>0.15357342284551123</v>
      </c>
      <c r="Q25" s="94">
        <f t="shared" si="4"/>
        <v>9571.82</v>
      </c>
    </row>
    <row r="26" spans="1:32" s="68" customFormat="1" ht="12.95" customHeight="1" x14ac:dyDescent="0.2">
      <c r="A26" s="68" t="s">
        <v>12</v>
      </c>
      <c r="C26" s="95">
        <v>28181.387999999999</v>
      </c>
      <c r="D26" s="95" t="s">
        <v>14</v>
      </c>
      <c r="E26" s="68">
        <f t="shared" si="0"/>
        <v>0</v>
      </c>
      <c r="F26" s="68">
        <f t="shared" si="1"/>
        <v>0</v>
      </c>
      <c r="G26" s="68">
        <f t="shared" si="2"/>
        <v>0</v>
      </c>
      <c r="H26" s="68">
        <f t="shared" si="3"/>
        <v>0</v>
      </c>
      <c r="Q26" s="94">
        <f t="shared" si="4"/>
        <v>13162.887999999999</v>
      </c>
    </row>
    <row r="27" spans="1:32" s="68" customFormat="1" ht="12.95" customHeight="1" x14ac:dyDescent="0.2">
      <c r="A27" s="68" t="s">
        <v>29</v>
      </c>
      <c r="C27" s="95">
        <v>40147.489000000001</v>
      </c>
      <c r="D27" s="95"/>
      <c r="E27" s="68">
        <f t="shared" si="0"/>
        <v>7412.1273584156643</v>
      </c>
      <c r="F27" s="68">
        <f t="shared" si="1"/>
        <v>7412</v>
      </c>
      <c r="Q27" s="94">
        <f t="shared" si="4"/>
        <v>25128.989000000001</v>
      </c>
      <c r="U27" s="68">
        <f>+C27-(C$7+F27*C$8)</f>
        <v>0.2056067834928399</v>
      </c>
      <c r="AB27" s="68">
        <v>7</v>
      </c>
      <c r="AD27" s="68" t="s">
        <v>28</v>
      </c>
      <c r="AF27" s="68" t="s">
        <v>30</v>
      </c>
    </row>
    <row r="28" spans="1:32" s="68" customFormat="1" ht="12.95" customHeight="1" x14ac:dyDescent="0.2">
      <c r="A28" s="68" t="s">
        <v>33</v>
      </c>
      <c r="C28" s="95">
        <v>43927.360000000001</v>
      </c>
      <c r="D28" s="95"/>
      <c r="E28" s="68">
        <f t="shared" si="0"/>
        <v>9753.4819274922556</v>
      </c>
      <c r="F28" s="68">
        <f t="shared" si="1"/>
        <v>9753.5</v>
      </c>
      <c r="Q28" s="94">
        <f t="shared" si="4"/>
        <v>28908.86</v>
      </c>
      <c r="U28" s="68">
        <f>+C28-(C$7+F28*C$8)</f>
        <v>-2.9176165291573852E-2</v>
      </c>
      <c r="AA28" s="68" t="s">
        <v>31</v>
      </c>
      <c r="AB28" s="68">
        <v>9</v>
      </c>
      <c r="AD28" s="68" t="s">
        <v>32</v>
      </c>
      <c r="AF28" s="68" t="s">
        <v>30</v>
      </c>
    </row>
    <row r="29" spans="1:32" s="68" customFormat="1" ht="12.95" customHeight="1" x14ac:dyDescent="0.2">
      <c r="A29" s="68" t="s">
        <v>34</v>
      </c>
      <c r="C29" s="95">
        <v>44644.273999999998</v>
      </c>
      <c r="D29" s="95"/>
      <c r="E29" s="68">
        <f t="shared" si="0"/>
        <v>10197.55789451202</v>
      </c>
      <c r="F29" s="68">
        <f t="shared" si="1"/>
        <v>10197.5</v>
      </c>
      <c r="Q29" s="94">
        <f t="shared" si="4"/>
        <v>29625.773999999998</v>
      </c>
      <c r="U29" s="68">
        <f>+C29-(C$7+F29*C$8)</f>
        <v>9.346460802044021E-2</v>
      </c>
      <c r="AA29" s="68" t="s">
        <v>31</v>
      </c>
      <c r="AB29" s="68">
        <v>7</v>
      </c>
      <c r="AD29" s="68" t="s">
        <v>32</v>
      </c>
      <c r="AF29" s="68" t="s">
        <v>30</v>
      </c>
    </row>
    <row r="30" spans="1:32" x14ac:dyDescent="0.2">
      <c r="A30" t="s">
        <v>35</v>
      </c>
      <c r="C30" s="26">
        <v>45385.334000000003</v>
      </c>
      <c r="D30" s="26"/>
      <c r="E30">
        <f t="shared" si="0"/>
        <v>10656.59054852585</v>
      </c>
      <c r="F30">
        <f t="shared" si="1"/>
        <v>10656.5</v>
      </c>
      <c r="Q30" s="2">
        <f t="shared" si="4"/>
        <v>30366.834000000003</v>
      </c>
      <c r="U30">
        <f>+C30-(C$7+F30*C$8)</f>
        <v>0.14618108315335121</v>
      </c>
      <c r="AA30" t="s">
        <v>31</v>
      </c>
      <c r="AB30">
        <v>7</v>
      </c>
      <c r="AD30" t="s">
        <v>32</v>
      </c>
      <c r="AF30" t="s">
        <v>30</v>
      </c>
    </row>
    <row r="31" spans="1:32" x14ac:dyDescent="0.2">
      <c r="A31" t="s">
        <v>36</v>
      </c>
      <c r="C31" s="26">
        <v>47531.38</v>
      </c>
      <c r="D31" s="26"/>
      <c r="E31">
        <f t="shared" si="0"/>
        <v>11985.909619877368</v>
      </c>
      <c r="F31">
        <f t="shared" si="1"/>
        <v>11986</v>
      </c>
      <c r="G31">
        <f t="shared" ref="G31:G41" si="5">+C31-(C$7+F31*C$8)</f>
        <v>-0.1459092138466076</v>
      </c>
      <c r="I31">
        <f>+G31</f>
        <v>-0.1459092138466076</v>
      </c>
      <c r="Q31" s="2">
        <f t="shared" si="4"/>
        <v>32512.879999999997</v>
      </c>
      <c r="AA31" t="s">
        <v>31</v>
      </c>
      <c r="AB31">
        <v>8</v>
      </c>
      <c r="AD31" t="s">
        <v>32</v>
      </c>
      <c r="AF31" t="s">
        <v>30</v>
      </c>
    </row>
    <row r="32" spans="1:32" x14ac:dyDescent="0.2">
      <c r="A32" s="62" t="s">
        <v>155</v>
      </c>
      <c r="B32" s="64" t="s">
        <v>55</v>
      </c>
      <c r="C32" s="63">
        <v>47560.436000000002</v>
      </c>
      <c r="D32" s="10"/>
      <c r="E32">
        <f t="shared" si="0"/>
        <v>12003.907693980716</v>
      </c>
      <c r="F32">
        <f t="shared" si="1"/>
        <v>12004</v>
      </c>
      <c r="G32">
        <f t="shared" si="5"/>
        <v>-0.14901837168144993</v>
      </c>
      <c r="I32">
        <f t="shared" ref="I32:I39" si="6">+G32</f>
        <v>-0.14901837168144993</v>
      </c>
      <c r="O32">
        <f t="shared" ref="O32:O62" ca="1" si="7">+C$11+C$12*$F32</f>
        <v>-0.14020684850517023</v>
      </c>
      <c r="Q32" s="2">
        <f t="shared" si="4"/>
        <v>32541.936000000002</v>
      </c>
    </row>
    <row r="33" spans="1:32" x14ac:dyDescent="0.2">
      <c r="A33" t="s">
        <v>37</v>
      </c>
      <c r="C33" s="26">
        <v>47925.286</v>
      </c>
      <c r="D33" s="26"/>
      <c r="E33">
        <f t="shared" si="0"/>
        <v>12229.905675003771</v>
      </c>
      <c r="F33">
        <f t="shared" si="1"/>
        <v>12230</v>
      </c>
      <c r="G33">
        <f t="shared" si="5"/>
        <v>-0.15227779787528561</v>
      </c>
      <c r="I33">
        <f t="shared" si="6"/>
        <v>-0.15227779787528561</v>
      </c>
      <c r="O33">
        <f t="shared" ca="1" si="7"/>
        <v>-0.1428173748616596</v>
      </c>
      <c r="Q33" s="2">
        <f t="shared" si="4"/>
        <v>32906.786</v>
      </c>
      <c r="AA33" t="s">
        <v>31</v>
      </c>
      <c r="AB33">
        <v>6</v>
      </c>
      <c r="AD33" t="s">
        <v>32</v>
      </c>
      <c r="AF33" t="s">
        <v>30</v>
      </c>
    </row>
    <row r="34" spans="1:32" x14ac:dyDescent="0.2">
      <c r="A34" s="62" t="s">
        <v>155</v>
      </c>
      <c r="B34" s="64" t="s">
        <v>55</v>
      </c>
      <c r="C34" s="63">
        <v>47933.366000000002</v>
      </c>
      <c r="D34" s="10"/>
      <c r="E34">
        <f t="shared" si="0"/>
        <v>12234.910646051232</v>
      </c>
      <c r="F34">
        <f t="shared" si="1"/>
        <v>12235</v>
      </c>
      <c r="G34">
        <f t="shared" si="5"/>
        <v>-0.14425256393587915</v>
      </c>
      <c r="I34">
        <f t="shared" si="6"/>
        <v>-0.14425256393587915</v>
      </c>
      <c r="O34">
        <f t="shared" ca="1" si="7"/>
        <v>-0.14287512986954651</v>
      </c>
      <c r="Q34" s="2">
        <f t="shared" si="4"/>
        <v>32914.866000000002</v>
      </c>
    </row>
    <row r="35" spans="1:32" x14ac:dyDescent="0.2">
      <c r="A35" t="s">
        <v>37</v>
      </c>
      <c r="C35" s="26">
        <v>47941.423999999999</v>
      </c>
      <c r="D35" s="26"/>
      <c r="E35">
        <f t="shared" si="0"/>
        <v>12239.901989702275</v>
      </c>
      <c r="F35">
        <f t="shared" si="1"/>
        <v>12240</v>
      </c>
      <c r="G35">
        <f t="shared" si="5"/>
        <v>-0.15822733000823064</v>
      </c>
      <c r="I35">
        <f t="shared" si="6"/>
        <v>-0.15822733000823064</v>
      </c>
      <c r="O35">
        <f t="shared" ca="1" si="7"/>
        <v>-0.14293288487743344</v>
      </c>
      <c r="Q35" s="2">
        <f t="shared" si="4"/>
        <v>32922.923999999999</v>
      </c>
      <c r="AA35" t="s">
        <v>31</v>
      </c>
      <c r="AB35">
        <v>7</v>
      </c>
      <c r="AD35" t="s">
        <v>32</v>
      </c>
      <c r="AF35" t="s">
        <v>30</v>
      </c>
    </row>
    <row r="36" spans="1:32" x14ac:dyDescent="0.2">
      <c r="A36" t="s">
        <v>37</v>
      </c>
      <c r="C36" s="26">
        <v>47946.294000000002</v>
      </c>
      <c r="D36" s="26"/>
      <c r="E36">
        <f t="shared" si="0"/>
        <v>12242.918599727171</v>
      </c>
      <c r="F36">
        <f t="shared" si="1"/>
        <v>12243</v>
      </c>
      <c r="G36">
        <f t="shared" si="5"/>
        <v>-0.13141218965029111</v>
      </c>
      <c r="I36">
        <f t="shared" si="6"/>
        <v>-0.13141218965029111</v>
      </c>
      <c r="O36">
        <f t="shared" ca="1" si="7"/>
        <v>-0.14296753788216562</v>
      </c>
      <c r="Q36" s="2">
        <f t="shared" si="4"/>
        <v>32927.794000000002</v>
      </c>
      <c r="AA36" t="s">
        <v>31</v>
      </c>
      <c r="AB36">
        <v>11</v>
      </c>
      <c r="AD36" t="s">
        <v>32</v>
      </c>
      <c r="AF36" t="s">
        <v>30</v>
      </c>
    </row>
    <row r="37" spans="1:32" x14ac:dyDescent="0.2">
      <c r="A37" s="40" t="s">
        <v>37</v>
      </c>
      <c r="B37" s="40"/>
      <c r="C37" s="37">
        <v>47954.341</v>
      </c>
      <c r="D37" s="37"/>
      <c r="E37">
        <f t="shared" si="0"/>
        <v>12247.903129680008</v>
      </c>
      <c r="F37">
        <f t="shared" si="1"/>
        <v>12248</v>
      </c>
      <c r="G37">
        <f t="shared" si="5"/>
        <v>-0.15638695571396966</v>
      </c>
      <c r="I37">
        <f t="shared" si="6"/>
        <v>-0.15638695571396966</v>
      </c>
      <c r="O37">
        <f t="shared" ca="1" si="7"/>
        <v>-0.14302529289005256</v>
      </c>
      <c r="Q37" s="2">
        <f t="shared" si="4"/>
        <v>32935.841</v>
      </c>
      <c r="AA37" t="s">
        <v>31</v>
      </c>
      <c r="AB37">
        <v>7</v>
      </c>
      <c r="AD37" t="s">
        <v>32</v>
      </c>
      <c r="AF37" t="s">
        <v>30</v>
      </c>
    </row>
    <row r="38" spans="1:32" x14ac:dyDescent="0.2">
      <c r="A38" s="62" t="s">
        <v>155</v>
      </c>
      <c r="B38" s="64" t="s">
        <v>55</v>
      </c>
      <c r="C38" s="63">
        <v>47967.269</v>
      </c>
      <c r="D38" s="10"/>
      <c r="E38">
        <f t="shared" si="0"/>
        <v>12255.911083355944</v>
      </c>
      <c r="F38">
        <f t="shared" si="1"/>
        <v>12256</v>
      </c>
      <c r="G38">
        <f t="shared" si="5"/>
        <v>-0.1435465814138297</v>
      </c>
      <c r="I38">
        <f t="shared" si="6"/>
        <v>-0.1435465814138297</v>
      </c>
      <c r="O38">
        <f t="shared" ca="1" si="7"/>
        <v>-0.14311770090267165</v>
      </c>
      <c r="Q38" s="2">
        <f t="shared" si="4"/>
        <v>32948.769</v>
      </c>
    </row>
    <row r="39" spans="1:32" x14ac:dyDescent="0.2">
      <c r="A39" s="62" t="s">
        <v>155</v>
      </c>
      <c r="B39" s="64" t="s">
        <v>55</v>
      </c>
      <c r="C39" s="63">
        <v>48180.366000000002</v>
      </c>
      <c r="D39" s="10"/>
      <c r="E39">
        <f t="shared" si="0"/>
        <v>12387.909142180311</v>
      </c>
      <c r="F39">
        <f t="shared" si="1"/>
        <v>12388</v>
      </c>
      <c r="G39">
        <f t="shared" si="5"/>
        <v>-0.14668040555989137</v>
      </c>
      <c r="I39">
        <f t="shared" si="6"/>
        <v>-0.14668040555989137</v>
      </c>
      <c r="O39">
        <f t="shared" ca="1" si="7"/>
        <v>-0.14464243311088665</v>
      </c>
      <c r="Q39" s="2">
        <f t="shared" si="4"/>
        <v>33161.866000000002</v>
      </c>
    </row>
    <row r="40" spans="1:32" x14ac:dyDescent="0.2">
      <c r="A40" s="62" t="s">
        <v>155</v>
      </c>
      <c r="B40" s="64" t="s">
        <v>55</v>
      </c>
      <c r="C40" s="63">
        <v>48188.4375</v>
      </c>
      <c r="D40" s="10"/>
      <c r="E40">
        <f t="shared" si="0"/>
        <v>12392.908848097339</v>
      </c>
      <c r="F40">
        <f t="shared" si="1"/>
        <v>12393</v>
      </c>
      <c r="G40">
        <f t="shared" si="5"/>
        <v>-0.14715517163131153</v>
      </c>
      <c r="J40">
        <f>+G40</f>
        <v>-0.14715517163131153</v>
      </c>
      <c r="O40">
        <f t="shared" ca="1" si="7"/>
        <v>-0.14470018811877358</v>
      </c>
      <c r="Q40" s="2">
        <f t="shared" si="4"/>
        <v>33169.9375</v>
      </c>
    </row>
    <row r="41" spans="1:32" x14ac:dyDescent="0.2">
      <c r="A41" s="62" t="s">
        <v>155</v>
      </c>
      <c r="B41" s="64" t="s">
        <v>55</v>
      </c>
      <c r="C41" s="63">
        <v>48206.197</v>
      </c>
      <c r="D41" s="10"/>
      <c r="E41">
        <f t="shared" si="0"/>
        <v>12403.90956385444</v>
      </c>
      <c r="F41">
        <f t="shared" si="1"/>
        <v>12404</v>
      </c>
      <c r="G41">
        <f t="shared" si="5"/>
        <v>-0.14599965697561856</v>
      </c>
      <c r="I41">
        <f>+G41</f>
        <v>-0.14599965697561856</v>
      </c>
      <c r="O41">
        <f t="shared" ca="1" si="7"/>
        <v>-0.14482724913612485</v>
      </c>
      <c r="Q41" s="2">
        <f t="shared" si="4"/>
        <v>33187.697</v>
      </c>
    </row>
    <row r="42" spans="1:32" x14ac:dyDescent="0.2">
      <c r="A42" s="40" t="s">
        <v>38</v>
      </c>
      <c r="B42" s="40"/>
      <c r="C42" s="37">
        <v>48700.309000000001</v>
      </c>
      <c r="D42" s="37">
        <v>6.0000000000000001E-3</v>
      </c>
      <c r="E42">
        <f t="shared" si="0"/>
        <v>12709.9759319489</v>
      </c>
      <c r="F42">
        <f t="shared" si="1"/>
        <v>12710</v>
      </c>
      <c r="O42">
        <f t="shared" ca="1" si="7"/>
        <v>-0.14836185561880513</v>
      </c>
      <c r="Q42" s="2">
        <f t="shared" si="4"/>
        <v>33681.809000000001</v>
      </c>
      <c r="U42" s="30">
        <v>-3.8855340222653467E-2</v>
      </c>
      <c r="AA42" t="s">
        <v>31</v>
      </c>
      <c r="AB42">
        <v>7</v>
      </c>
      <c r="AD42" t="s">
        <v>32</v>
      </c>
      <c r="AF42" t="s">
        <v>30</v>
      </c>
    </row>
    <row r="43" spans="1:32" x14ac:dyDescent="0.2">
      <c r="A43" s="40" t="s">
        <v>39</v>
      </c>
      <c r="B43" s="40"/>
      <c r="C43" s="37">
        <v>49788.296999999999</v>
      </c>
      <c r="D43" s="37">
        <v>5.0000000000000001E-3</v>
      </c>
      <c r="E43">
        <f t="shared" si="0"/>
        <v>13383.90519432333</v>
      </c>
      <c r="F43">
        <f t="shared" si="1"/>
        <v>13384</v>
      </c>
      <c r="G43">
        <f>+C43-(C$7+F43*C$8)</f>
        <v>-0.15305380595236784</v>
      </c>
      <c r="I43">
        <f>+G43</f>
        <v>-0.15305380595236784</v>
      </c>
      <c r="O43">
        <f t="shared" ca="1" si="7"/>
        <v>-0.15614723068196365</v>
      </c>
      <c r="Q43" s="2">
        <f t="shared" si="4"/>
        <v>34769.796999999999</v>
      </c>
      <c r="AA43" t="s">
        <v>31</v>
      </c>
      <c r="AB43">
        <v>7</v>
      </c>
      <c r="AD43" t="s">
        <v>32</v>
      </c>
      <c r="AF43" t="s">
        <v>30</v>
      </c>
    </row>
    <row r="44" spans="1:32" x14ac:dyDescent="0.2">
      <c r="A44" s="40" t="s">
        <v>40</v>
      </c>
      <c r="B44" s="40"/>
      <c r="C44" s="37">
        <v>50148.307999999997</v>
      </c>
      <c r="D44" s="37">
        <v>5.0000000000000001E-3</v>
      </c>
      <c r="E44">
        <f t="shared" si="0"/>
        <v>13606.905767561895</v>
      </c>
      <c r="F44">
        <f t="shared" si="1"/>
        <v>13607</v>
      </c>
      <c r="G44">
        <f>+C44-(C$7+F44*C$8)</f>
        <v>-0.15212837250874145</v>
      </c>
      <c r="I44">
        <f>+G44</f>
        <v>-0.15212837250874145</v>
      </c>
      <c r="O44">
        <f t="shared" ca="1" si="7"/>
        <v>-0.15872310403372084</v>
      </c>
      <c r="Q44" s="2">
        <f t="shared" si="4"/>
        <v>35129.807999999997</v>
      </c>
      <c r="AA44" t="s">
        <v>31</v>
      </c>
      <c r="AB44">
        <v>6</v>
      </c>
      <c r="AD44" t="s">
        <v>32</v>
      </c>
      <c r="AF44" t="s">
        <v>30</v>
      </c>
    </row>
    <row r="45" spans="1:32" x14ac:dyDescent="0.2">
      <c r="A45" s="39" t="s">
        <v>67</v>
      </c>
      <c r="B45" s="38" t="s">
        <v>55</v>
      </c>
      <c r="C45" s="37">
        <v>50437.559000000001</v>
      </c>
      <c r="D45" s="37" t="s">
        <v>68</v>
      </c>
      <c r="E45">
        <f t="shared" si="0"/>
        <v>13786.075678508587</v>
      </c>
      <c r="F45">
        <f t="shared" si="1"/>
        <v>13786</v>
      </c>
      <c r="O45">
        <f t="shared" ca="1" si="7"/>
        <v>-0.16079073331607302</v>
      </c>
      <c r="Q45" s="2">
        <f t="shared" si="4"/>
        <v>35419.059000000001</v>
      </c>
      <c r="U45">
        <f>+C45-(C$7+F45*C$8)</f>
        <v>0.12217500233236933</v>
      </c>
    </row>
    <row r="46" spans="1:32" x14ac:dyDescent="0.2">
      <c r="A46" s="62" t="s">
        <v>199</v>
      </c>
      <c r="B46" s="64" t="s">
        <v>61</v>
      </c>
      <c r="C46" s="63">
        <v>52657.053999999996</v>
      </c>
      <c r="D46" s="10"/>
      <c r="E46">
        <f t="shared" si="0"/>
        <v>15160.891051650327</v>
      </c>
      <c r="F46">
        <f t="shared" si="1"/>
        <v>15161</v>
      </c>
      <c r="G46">
        <f t="shared" ref="G46:G62" si="8">+C46-(C$7+F46*C$8)</f>
        <v>-0.17588566587801324</v>
      </c>
      <c r="I46">
        <f>+G46</f>
        <v>-0.17588566587801324</v>
      </c>
      <c r="O46">
        <f t="shared" ca="1" si="7"/>
        <v>-0.1766733604849795</v>
      </c>
      <c r="Q46" s="2">
        <f t="shared" si="4"/>
        <v>37638.553999999996</v>
      </c>
    </row>
    <row r="47" spans="1:32" x14ac:dyDescent="0.2">
      <c r="A47" s="62" t="s">
        <v>204</v>
      </c>
      <c r="B47" s="64" t="s">
        <v>61</v>
      </c>
      <c r="C47" s="63">
        <v>52689.351999999999</v>
      </c>
      <c r="D47" s="10"/>
      <c r="E47">
        <f t="shared" si="0"/>
        <v>15180.897308443757</v>
      </c>
      <c r="F47">
        <f t="shared" si="1"/>
        <v>15181</v>
      </c>
      <c r="G47">
        <f t="shared" si="8"/>
        <v>-0.1657847301394213</v>
      </c>
      <c r="I47">
        <f>+G47</f>
        <v>-0.1657847301394213</v>
      </c>
      <c r="O47">
        <f t="shared" ca="1" si="7"/>
        <v>-0.17690438051652724</v>
      </c>
      <c r="Q47" s="2">
        <f t="shared" si="4"/>
        <v>37670.851999999999</v>
      </c>
    </row>
    <row r="48" spans="1:32" x14ac:dyDescent="0.2">
      <c r="A48" s="62" t="s">
        <v>208</v>
      </c>
      <c r="B48" s="64" t="s">
        <v>61</v>
      </c>
      <c r="C48" s="63">
        <v>53028.353999999999</v>
      </c>
      <c r="D48" s="10"/>
      <c r="E48">
        <f t="shared" si="0"/>
        <v>15390.884337531814</v>
      </c>
      <c r="F48">
        <f t="shared" si="1"/>
        <v>15391</v>
      </c>
      <c r="G48">
        <f t="shared" si="8"/>
        <v>-0.18672490491735516</v>
      </c>
      <c r="I48">
        <f>+G48</f>
        <v>-0.18672490491735516</v>
      </c>
      <c r="O48">
        <f t="shared" ca="1" si="7"/>
        <v>-0.1793300908477784</v>
      </c>
      <c r="Q48" s="2">
        <f t="shared" si="4"/>
        <v>38009.853999999999</v>
      </c>
    </row>
    <row r="49" spans="1:17" x14ac:dyDescent="0.2">
      <c r="A49" s="37" t="s">
        <v>54</v>
      </c>
      <c r="B49" s="38" t="s">
        <v>55</v>
      </c>
      <c r="C49" s="37">
        <v>53344.779699999999</v>
      </c>
      <c r="D49" s="37">
        <v>1E-4</v>
      </c>
      <c r="E49">
        <f t="shared" si="0"/>
        <v>15586.886994360118</v>
      </c>
      <c r="F49">
        <f t="shared" si="1"/>
        <v>15587</v>
      </c>
      <c r="G49">
        <f t="shared" si="8"/>
        <v>-0.1824357347068144</v>
      </c>
      <c r="K49">
        <f t="shared" ref="K49:K60" si="9">+G49</f>
        <v>-0.1824357347068144</v>
      </c>
      <c r="O49">
        <f t="shared" ca="1" si="7"/>
        <v>-0.18159408715694617</v>
      </c>
      <c r="Q49" s="2">
        <f t="shared" si="4"/>
        <v>38326.279699999999</v>
      </c>
    </row>
    <row r="50" spans="1:17" x14ac:dyDescent="0.2">
      <c r="A50" s="41" t="s">
        <v>53</v>
      </c>
      <c r="B50" s="40"/>
      <c r="C50" s="37">
        <v>53441.645100000002</v>
      </c>
      <c r="D50" s="37">
        <v>2.0000000000000001E-4</v>
      </c>
      <c r="E50">
        <f t="shared" si="0"/>
        <v>15646.888049125066</v>
      </c>
      <c r="F50">
        <f t="shared" si="1"/>
        <v>15647</v>
      </c>
      <c r="G50">
        <f t="shared" si="8"/>
        <v>-0.18073292749613756</v>
      </c>
      <c r="K50">
        <f t="shared" si="9"/>
        <v>-0.18073292749613756</v>
      </c>
      <c r="O50">
        <f t="shared" ca="1" si="7"/>
        <v>-0.18228714725158934</v>
      </c>
      <c r="Q50" s="2">
        <f t="shared" si="4"/>
        <v>38423.145100000002</v>
      </c>
    </row>
    <row r="51" spans="1:17" x14ac:dyDescent="0.2">
      <c r="A51" s="39" t="s">
        <v>67</v>
      </c>
      <c r="B51" s="38" t="s">
        <v>55</v>
      </c>
      <c r="C51" s="37">
        <v>54447.402900000001</v>
      </c>
      <c r="D51" s="37">
        <v>2.9999999999999997E-4</v>
      </c>
      <c r="E51">
        <f t="shared" si="0"/>
        <v>16269.881696372398</v>
      </c>
      <c r="F51">
        <f t="shared" si="1"/>
        <v>16270</v>
      </c>
      <c r="G51">
        <f t="shared" si="8"/>
        <v>-0.19098877934447955</v>
      </c>
      <c r="K51">
        <f t="shared" si="9"/>
        <v>-0.19098877934447955</v>
      </c>
      <c r="O51">
        <f t="shared" ca="1" si="7"/>
        <v>-0.18948342123430115</v>
      </c>
      <c r="Q51" s="2">
        <f t="shared" si="4"/>
        <v>39428.902900000001</v>
      </c>
    </row>
    <row r="52" spans="1:17" x14ac:dyDescent="0.2">
      <c r="A52" s="42" t="s">
        <v>63</v>
      </c>
      <c r="B52" s="43" t="s">
        <v>55</v>
      </c>
      <c r="C52" s="42">
        <v>54447.402999999998</v>
      </c>
      <c r="D52" s="42">
        <v>1E-3</v>
      </c>
      <c r="E52">
        <f t="shared" si="0"/>
        <v>16269.881758315107</v>
      </c>
      <c r="F52">
        <f t="shared" si="1"/>
        <v>16270</v>
      </c>
      <c r="G52">
        <f t="shared" si="8"/>
        <v>-0.19088877934700577</v>
      </c>
      <c r="K52">
        <f t="shared" si="9"/>
        <v>-0.19088877934700577</v>
      </c>
      <c r="O52">
        <f t="shared" ca="1" si="7"/>
        <v>-0.18948342123430115</v>
      </c>
      <c r="Q52" s="2">
        <f t="shared" si="4"/>
        <v>39428.902999999998</v>
      </c>
    </row>
    <row r="53" spans="1:17" x14ac:dyDescent="0.2">
      <c r="A53" s="37" t="s">
        <v>60</v>
      </c>
      <c r="B53" s="38" t="s">
        <v>61</v>
      </c>
      <c r="C53" s="37">
        <v>54455.474099999999</v>
      </c>
      <c r="D53" s="37">
        <v>1E-3</v>
      </c>
      <c r="E53">
        <f t="shared" si="0"/>
        <v>16274.881216461292</v>
      </c>
      <c r="F53">
        <f t="shared" si="1"/>
        <v>16275</v>
      </c>
      <c r="G53">
        <f t="shared" si="8"/>
        <v>-0.19176354541559704</v>
      </c>
      <c r="J53">
        <f>+G53</f>
        <v>-0.19176354541559704</v>
      </c>
      <c r="O53">
        <f t="shared" ca="1" si="7"/>
        <v>-0.18954117624218808</v>
      </c>
      <c r="Q53" s="2">
        <f t="shared" si="4"/>
        <v>39436.974099999999</v>
      </c>
    </row>
    <row r="54" spans="1:17" x14ac:dyDescent="0.2">
      <c r="A54" s="37" t="s">
        <v>60</v>
      </c>
      <c r="B54" s="38" t="s">
        <v>61</v>
      </c>
      <c r="C54" s="37">
        <v>54476.462099999997</v>
      </c>
      <c r="D54" s="37">
        <v>1.6999999999999999E-3</v>
      </c>
      <c r="E54">
        <f t="shared" si="0"/>
        <v>16287.881752642494</v>
      </c>
      <c r="F54">
        <f t="shared" si="1"/>
        <v>16288</v>
      </c>
      <c r="G54">
        <f t="shared" si="8"/>
        <v>-0.19089793718740111</v>
      </c>
      <c r="J54">
        <f>+G54</f>
        <v>-0.19089793718740111</v>
      </c>
      <c r="O54">
        <f t="shared" ca="1" si="7"/>
        <v>-0.1896913392626941</v>
      </c>
      <c r="Q54" s="2">
        <f t="shared" si="4"/>
        <v>39457.962099999997</v>
      </c>
    </row>
    <row r="55" spans="1:17" x14ac:dyDescent="0.2">
      <c r="A55" s="62" t="s">
        <v>107</v>
      </c>
      <c r="B55" s="64" t="s">
        <v>61</v>
      </c>
      <c r="C55" s="63">
        <v>54820.327700000002</v>
      </c>
      <c r="D55" s="10"/>
      <c r="E55">
        <f t="shared" si="0"/>
        <v>16500.881427421944</v>
      </c>
      <c r="F55">
        <f t="shared" si="1"/>
        <v>16501</v>
      </c>
      <c r="G55">
        <f t="shared" si="8"/>
        <v>-0.19142297160578892</v>
      </c>
      <c r="K55">
        <f t="shared" si="9"/>
        <v>-0.19142297160578892</v>
      </c>
      <c r="O55">
        <f t="shared" ca="1" si="7"/>
        <v>-0.19215170259867745</v>
      </c>
      <c r="Q55" s="2">
        <f t="shared" si="4"/>
        <v>39801.827700000002</v>
      </c>
    </row>
    <row r="56" spans="1:17" x14ac:dyDescent="0.2">
      <c r="A56" s="37" t="s">
        <v>58</v>
      </c>
      <c r="B56" s="38" t="s">
        <v>55</v>
      </c>
      <c r="C56" s="37">
        <v>54831.628299999997</v>
      </c>
      <c r="D56" s="37">
        <v>2.9999999999999997E-4</v>
      </c>
      <c r="E56">
        <f t="shared" si="0"/>
        <v>16507.881325419334</v>
      </c>
      <c r="F56">
        <f t="shared" si="1"/>
        <v>16508</v>
      </c>
      <c r="G56">
        <f t="shared" si="8"/>
        <v>-0.19158764410531148</v>
      </c>
      <c r="K56">
        <f t="shared" si="9"/>
        <v>-0.19158764410531148</v>
      </c>
      <c r="O56">
        <f t="shared" ca="1" si="7"/>
        <v>-0.19223255960971916</v>
      </c>
      <c r="Q56" s="2">
        <f t="shared" si="4"/>
        <v>39813.128299999997</v>
      </c>
    </row>
    <row r="57" spans="1:17" x14ac:dyDescent="0.2">
      <c r="A57" s="62" t="s">
        <v>107</v>
      </c>
      <c r="B57" s="64" t="s">
        <v>61</v>
      </c>
      <c r="C57" s="63">
        <v>54862.298600000002</v>
      </c>
      <c r="D57" s="10"/>
      <c r="E57">
        <f t="shared" si="0"/>
        <v>16526.879340706088</v>
      </c>
      <c r="F57">
        <f t="shared" si="1"/>
        <v>16527</v>
      </c>
      <c r="G57">
        <f t="shared" si="8"/>
        <v>-0.19479175515152747</v>
      </c>
      <c r="K57">
        <f t="shared" si="9"/>
        <v>-0.19479175515152747</v>
      </c>
      <c r="O57">
        <f t="shared" ca="1" si="7"/>
        <v>-0.19245202863968949</v>
      </c>
      <c r="Q57" s="2">
        <f t="shared" si="4"/>
        <v>39843.798600000002</v>
      </c>
    </row>
    <row r="58" spans="1:17" x14ac:dyDescent="0.2">
      <c r="A58" s="39" t="s">
        <v>66</v>
      </c>
      <c r="B58" s="38" t="s">
        <v>55</v>
      </c>
      <c r="C58" s="37">
        <v>55559.716699999997</v>
      </c>
      <c r="D58" s="37">
        <v>1E-3</v>
      </c>
      <c r="E58">
        <f t="shared" si="0"/>
        <v>16958.879018735235</v>
      </c>
      <c r="F58">
        <f t="shared" si="1"/>
        <v>16959</v>
      </c>
      <c r="G58">
        <f t="shared" si="8"/>
        <v>-0.1953115432697814</v>
      </c>
      <c r="K58">
        <f t="shared" si="9"/>
        <v>-0.1953115432697814</v>
      </c>
      <c r="O58">
        <f t="shared" ca="1" si="7"/>
        <v>-0.19744206132112047</v>
      </c>
      <c r="Q58" s="2">
        <f t="shared" si="4"/>
        <v>40541.216699999997</v>
      </c>
    </row>
    <row r="59" spans="1:17" x14ac:dyDescent="0.2">
      <c r="A59" s="37" t="s">
        <v>69</v>
      </c>
      <c r="B59" s="38" t="s">
        <v>55</v>
      </c>
      <c r="C59" s="37">
        <v>55940.707799999996</v>
      </c>
      <c r="D59" s="37">
        <v>2.0000000000000001E-4</v>
      </c>
      <c r="E59">
        <f t="shared" si="0"/>
        <v>17194.875234680836</v>
      </c>
      <c r="F59">
        <f t="shared" si="1"/>
        <v>17195</v>
      </c>
      <c r="G59">
        <f t="shared" si="8"/>
        <v>-0.20142050159483915</v>
      </c>
      <c r="K59">
        <f t="shared" si="9"/>
        <v>-0.20142050159483915</v>
      </c>
      <c r="O59">
        <f t="shared" ca="1" si="7"/>
        <v>-0.2001680976933837</v>
      </c>
      <c r="Q59" s="2">
        <f t="shared" si="4"/>
        <v>40922.207799999996</v>
      </c>
    </row>
    <row r="60" spans="1:17" x14ac:dyDescent="0.2">
      <c r="A60" s="62" t="s">
        <v>112</v>
      </c>
      <c r="B60" s="64" t="s">
        <v>61</v>
      </c>
      <c r="C60" s="63">
        <v>56596.147900000004</v>
      </c>
      <c r="D60" s="10"/>
      <c r="E60">
        <f t="shared" si="0"/>
        <v>17600.872601493364</v>
      </c>
      <c r="F60">
        <f t="shared" si="1"/>
        <v>17601</v>
      </c>
      <c r="G60">
        <f t="shared" si="8"/>
        <v>-0.20567150616261642</v>
      </c>
      <c r="K60">
        <f t="shared" si="9"/>
        <v>-0.20567150616261642</v>
      </c>
      <c r="O60">
        <f t="shared" ca="1" si="7"/>
        <v>-0.20485780433380263</v>
      </c>
      <c r="Q60" s="2">
        <f t="shared" si="4"/>
        <v>41577.647900000004</v>
      </c>
    </row>
    <row r="61" spans="1:17" x14ac:dyDescent="0.2">
      <c r="A61" s="46" t="s">
        <v>70</v>
      </c>
      <c r="B61" s="47" t="s">
        <v>55</v>
      </c>
      <c r="C61" s="37">
        <v>56654.266900000002</v>
      </c>
      <c r="D61" s="48">
        <v>2.5999999999999999E-3</v>
      </c>
      <c r="E61">
        <f t="shared" si="0"/>
        <v>17636.873085689822</v>
      </c>
      <c r="F61">
        <f t="shared" si="1"/>
        <v>17637</v>
      </c>
      <c r="G61">
        <f t="shared" si="8"/>
        <v>-0.20488982184178894</v>
      </c>
      <c r="J61">
        <f>+G61</f>
        <v>-0.20488982184178894</v>
      </c>
      <c r="O61">
        <f t="shared" ca="1" si="7"/>
        <v>-0.20527364039058854</v>
      </c>
      <c r="Q61" s="2">
        <f t="shared" si="4"/>
        <v>41635.766900000002</v>
      </c>
    </row>
    <row r="62" spans="1:17" x14ac:dyDescent="0.2">
      <c r="A62" s="45" t="s">
        <v>71</v>
      </c>
      <c r="B62" s="44" t="s">
        <v>55</v>
      </c>
      <c r="C62" s="45">
        <v>56729.3315</v>
      </c>
      <c r="D62" s="45">
        <v>1.6999999999999999E-3</v>
      </c>
      <c r="E62">
        <f t="shared" si="0"/>
        <v>17683.370133918692</v>
      </c>
      <c r="F62">
        <f t="shared" si="1"/>
        <v>17683.5</v>
      </c>
      <c r="G62">
        <f t="shared" si="8"/>
        <v>-0.20965514626004733</v>
      </c>
      <c r="J62">
        <f>+G62</f>
        <v>-0.20965514626004733</v>
      </c>
      <c r="O62">
        <f t="shared" ca="1" si="7"/>
        <v>-0.20581076196393702</v>
      </c>
      <c r="Q62" s="2">
        <f t="shared" si="4"/>
        <v>41710.8315</v>
      </c>
    </row>
    <row r="63" spans="1:17" x14ac:dyDescent="0.2">
      <c r="A63" s="65" t="s">
        <v>268</v>
      </c>
      <c r="B63" s="66" t="s">
        <v>55</v>
      </c>
      <c r="C63" s="67">
        <v>57364.595999999998</v>
      </c>
      <c r="D63" s="67">
        <v>4.4000000000000003E-3</v>
      </c>
      <c r="E63">
        <f>+(C63-C$7)/C$8</f>
        <v>18076.870187134038</v>
      </c>
      <c r="F63">
        <f t="shared" si="1"/>
        <v>18077</v>
      </c>
      <c r="G63">
        <f>+C63-(C$7+F63*C$8)</f>
        <v>-0.20956923566700425</v>
      </c>
      <c r="K63">
        <f>+G63</f>
        <v>-0.20956923566700425</v>
      </c>
      <c r="O63">
        <f ca="1">+C$11+C$12*$F63</f>
        <v>-0.2103560810846386</v>
      </c>
      <c r="Q63" s="2">
        <f>+C63-15018.5</f>
        <v>42346.095999999998</v>
      </c>
    </row>
    <row r="64" spans="1:17" x14ac:dyDescent="0.2">
      <c r="A64" s="6" t="s">
        <v>269</v>
      </c>
      <c r="B64" s="15"/>
      <c r="C64" s="27">
        <v>58367.937400000003</v>
      </c>
      <c r="D64" s="27">
        <v>4.0000000000000002E-4</v>
      </c>
      <c r="E64">
        <f>+(C64-C$7)/C$8</f>
        <v>18698.367050713172</v>
      </c>
      <c r="F64">
        <f t="shared" si="1"/>
        <v>18698.5</v>
      </c>
      <c r="G64">
        <f>+C64-(C$7+F64*C$8)</f>
        <v>-0.21463265769125428</v>
      </c>
      <c r="K64">
        <f>+G64</f>
        <v>-0.21463265769125428</v>
      </c>
      <c r="O64">
        <f ca="1">+C$11+C$12*$F64</f>
        <v>-0.21753502856498433</v>
      </c>
      <c r="Q64" s="2">
        <f>+C64-15018.5</f>
        <v>43349.437400000003</v>
      </c>
    </row>
    <row r="65" spans="2:4" x14ac:dyDescent="0.2">
      <c r="B65" s="15"/>
      <c r="C65" s="10"/>
      <c r="D65" s="10"/>
    </row>
    <row r="66" spans="2:4" x14ac:dyDescent="0.2">
      <c r="B66" s="15"/>
      <c r="C66" s="10"/>
      <c r="D66" s="10"/>
    </row>
    <row r="67" spans="2:4" x14ac:dyDescent="0.2">
      <c r="B67" s="15"/>
      <c r="C67" s="10"/>
      <c r="D67" s="10"/>
    </row>
    <row r="68" spans="2:4" x14ac:dyDescent="0.2">
      <c r="B68" s="15"/>
      <c r="C68" s="10"/>
      <c r="D68" s="10"/>
    </row>
    <row r="69" spans="2:4" x14ac:dyDescent="0.2">
      <c r="B69" s="15"/>
      <c r="C69" s="10"/>
      <c r="D69" s="10"/>
    </row>
    <row r="70" spans="2:4" x14ac:dyDescent="0.2">
      <c r="B70" s="15"/>
      <c r="C70" s="10"/>
      <c r="D70" s="10"/>
    </row>
    <row r="71" spans="2:4" x14ac:dyDescent="0.2">
      <c r="B71" s="15"/>
      <c r="C71" s="10"/>
      <c r="D71" s="10"/>
    </row>
    <row r="72" spans="2:4" x14ac:dyDescent="0.2">
      <c r="B72" s="15"/>
      <c r="C72" s="10"/>
      <c r="D72" s="10"/>
    </row>
    <row r="73" spans="2:4" x14ac:dyDescent="0.2">
      <c r="B73" s="15"/>
      <c r="C73" s="10"/>
      <c r="D73" s="10"/>
    </row>
    <row r="74" spans="2:4" x14ac:dyDescent="0.2">
      <c r="B74" s="15"/>
      <c r="C74" s="10"/>
      <c r="D74" s="10"/>
    </row>
    <row r="75" spans="2:4" x14ac:dyDescent="0.2">
      <c r="B75" s="15"/>
      <c r="C75" s="10"/>
      <c r="D75" s="10"/>
    </row>
    <row r="76" spans="2:4" x14ac:dyDescent="0.2">
      <c r="B76" s="15"/>
      <c r="C76" s="10"/>
      <c r="D76" s="10"/>
    </row>
    <row r="77" spans="2:4" x14ac:dyDescent="0.2">
      <c r="B77" s="15"/>
      <c r="C77" s="10"/>
      <c r="D77" s="10"/>
    </row>
    <row r="78" spans="2:4" x14ac:dyDescent="0.2">
      <c r="B78" s="15"/>
      <c r="C78" s="10"/>
      <c r="D78" s="10"/>
    </row>
    <row r="79" spans="2:4" x14ac:dyDescent="0.2">
      <c r="B79" s="15"/>
      <c r="C79" s="10"/>
      <c r="D79" s="10"/>
    </row>
    <row r="80" spans="2:4" x14ac:dyDescent="0.2">
      <c r="B80" s="15"/>
      <c r="C80" s="10"/>
      <c r="D80" s="10"/>
    </row>
    <row r="81" spans="2:4" x14ac:dyDescent="0.2">
      <c r="B81" s="15"/>
      <c r="C81" s="10"/>
      <c r="D81" s="10"/>
    </row>
    <row r="82" spans="2:4" x14ac:dyDescent="0.2">
      <c r="B82" s="15"/>
      <c r="C82" s="10"/>
      <c r="D82" s="10"/>
    </row>
    <row r="83" spans="2:4" x14ac:dyDescent="0.2">
      <c r="B83" s="15"/>
      <c r="C83" s="10"/>
      <c r="D83" s="10"/>
    </row>
    <row r="84" spans="2:4" x14ac:dyDescent="0.2">
      <c r="B84" s="15"/>
      <c r="C84" s="10"/>
      <c r="D84" s="10"/>
    </row>
    <row r="85" spans="2:4" x14ac:dyDescent="0.2">
      <c r="B85" s="15"/>
      <c r="C85" s="10"/>
      <c r="D85" s="10"/>
    </row>
    <row r="86" spans="2:4" x14ac:dyDescent="0.2">
      <c r="B86" s="15"/>
      <c r="C86" s="10"/>
      <c r="D86" s="10"/>
    </row>
    <row r="87" spans="2:4" x14ac:dyDescent="0.2">
      <c r="B87" s="15"/>
      <c r="C87" s="10"/>
      <c r="D87" s="10"/>
    </row>
    <row r="88" spans="2:4" x14ac:dyDescent="0.2">
      <c r="B88" s="15"/>
      <c r="C88" s="10"/>
      <c r="D88" s="10"/>
    </row>
    <row r="89" spans="2:4" x14ac:dyDescent="0.2">
      <c r="B89" s="15"/>
      <c r="C89" s="10"/>
      <c r="D89" s="10"/>
    </row>
    <row r="90" spans="2:4" x14ac:dyDescent="0.2">
      <c r="B90" s="15"/>
      <c r="C90" s="10"/>
      <c r="D90" s="10"/>
    </row>
    <row r="91" spans="2:4" x14ac:dyDescent="0.2">
      <c r="B91" s="15"/>
      <c r="C91" s="10"/>
      <c r="D91" s="10"/>
    </row>
    <row r="92" spans="2:4" x14ac:dyDescent="0.2">
      <c r="B92" s="15"/>
      <c r="C92" s="10"/>
      <c r="D92" s="10"/>
    </row>
    <row r="93" spans="2:4" x14ac:dyDescent="0.2">
      <c r="C93" s="10"/>
      <c r="D93" s="10"/>
    </row>
    <row r="94" spans="2:4" x14ac:dyDescent="0.2">
      <c r="C94" s="10"/>
      <c r="D94" s="10"/>
    </row>
    <row r="95" spans="2:4" x14ac:dyDescent="0.2">
      <c r="C95" s="10"/>
      <c r="D95" s="10"/>
    </row>
    <row r="96" spans="2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workbookViewId="0">
      <selection activeCell="E2" sqref="E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C1" s="9" t="s">
        <v>42</v>
      </c>
    </row>
    <row r="2" spans="1:7" x14ac:dyDescent="0.2">
      <c r="A2" t="s">
        <v>24</v>
      </c>
      <c r="B2" s="11" t="s">
        <v>45</v>
      </c>
      <c r="D2" s="30" t="s">
        <v>59</v>
      </c>
    </row>
    <row r="4" spans="1:7" x14ac:dyDescent="0.2">
      <c r="A4" s="6" t="s">
        <v>0</v>
      </c>
      <c r="C4" s="3">
        <v>28181.387999999999</v>
      </c>
      <c r="D4" s="4">
        <v>1.6146400000000001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28181.387999999999</v>
      </c>
    </row>
    <row r="8" spans="1:7" x14ac:dyDescent="0.2">
      <c r="A8" t="s">
        <v>3</v>
      </c>
      <c r="C8">
        <f>+D4</f>
        <v>1.6146400000000001</v>
      </c>
    </row>
    <row r="9" spans="1:7" x14ac:dyDescent="0.2">
      <c r="A9" s="12" t="s">
        <v>47</v>
      </c>
      <c r="B9" s="13"/>
      <c r="C9" s="14">
        <v>8</v>
      </c>
      <c r="D9" s="13" t="s">
        <v>48</v>
      </c>
      <c r="E9" s="13"/>
    </row>
    <row r="10" spans="1:7" ht="13.5" thickBot="1" x14ac:dyDescent="0.25">
      <c r="A10" s="13"/>
      <c r="B10" s="13"/>
      <c r="C10" s="5" t="s">
        <v>20</v>
      </c>
      <c r="D10" s="5" t="s">
        <v>21</v>
      </c>
      <c r="E10" s="13"/>
    </row>
    <row r="11" spans="1:7" x14ac:dyDescent="0.2">
      <c r="A11" s="13" t="s">
        <v>16</v>
      </c>
      <c r="B11" s="13"/>
      <c r="C11" s="28">
        <f ca="1">INTERCEPT(INDIRECT($G$11):G975,INDIRECT($F$11):F975)</f>
        <v>9.2160606149118515E-2</v>
      </c>
      <c r="D11" s="15"/>
      <c r="E11" s="13"/>
      <c r="F11" s="29" t="str">
        <f>"F"&amp;E19</f>
        <v>F21</v>
      </c>
      <c r="G11" s="30" t="str">
        <f>"G"&amp;E19</f>
        <v>G21</v>
      </c>
    </row>
    <row r="12" spans="1:7" x14ac:dyDescent="0.2">
      <c r="A12" s="13" t="s">
        <v>17</v>
      </c>
      <c r="B12" s="13"/>
      <c r="C12" s="28">
        <f ca="1">SLOPE(INDIRECT($G$11):G975,INDIRECT($F$11):F975)</f>
        <v>-9.2684973666120459E-6</v>
      </c>
      <c r="D12" s="15"/>
      <c r="E12" s="13"/>
    </row>
    <row r="13" spans="1:7" x14ac:dyDescent="0.2">
      <c r="A13" s="13" t="s">
        <v>19</v>
      </c>
      <c r="B13" s="13"/>
      <c r="C13" s="15" t="s">
        <v>14</v>
      </c>
      <c r="D13" s="15"/>
      <c r="E13" s="13"/>
    </row>
    <row r="14" spans="1:7" x14ac:dyDescent="0.2">
      <c r="A14" s="13"/>
      <c r="B14" s="13"/>
      <c r="C14" s="13"/>
      <c r="D14" s="13"/>
      <c r="E14" s="13"/>
    </row>
    <row r="15" spans="1:7" x14ac:dyDescent="0.2">
      <c r="A15" s="16" t="s">
        <v>18</v>
      </c>
      <c r="B15" s="13"/>
      <c r="C15" s="17">
        <f ca="1">(C7+C11)+(C8+C12)*INT(MAX(F21:F3516))</f>
        <v>54830.960384057107</v>
      </c>
      <c r="D15" s="18" t="s">
        <v>49</v>
      </c>
      <c r="E15" s="19">
        <f ca="1">TODAY()+15018.5-B9/24</f>
        <v>60376.5</v>
      </c>
    </row>
    <row r="16" spans="1:7" x14ac:dyDescent="0.2">
      <c r="A16" s="20" t="s">
        <v>4</v>
      </c>
      <c r="B16" s="13"/>
      <c r="C16" s="21">
        <f ca="1">+C8+C12</f>
        <v>1.6146307315026334</v>
      </c>
      <c r="D16" s="18" t="s">
        <v>50</v>
      </c>
      <c r="E16" s="19">
        <f ca="1">ROUND(2*(E15-C15)/C16,0)/2+1</f>
        <v>3435.5</v>
      </c>
    </row>
    <row r="17" spans="1:32" ht="13.5" thickBot="1" x14ac:dyDescent="0.25">
      <c r="A17" s="18" t="s">
        <v>44</v>
      </c>
      <c r="B17" s="13"/>
      <c r="C17" s="13">
        <f>COUNT(C21:C2174)</f>
        <v>18</v>
      </c>
      <c r="D17" s="18" t="s">
        <v>51</v>
      </c>
      <c r="E17" s="22">
        <f ca="1">+C15+C16*E16-15018.5-C9/24</f>
        <v>45359.190928801072</v>
      </c>
    </row>
    <row r="18" spans="1:32" x14ac:dyDescent="0.2">
      <c r="A18" s="20" t="s">
        <v>5</v>
      </c>
      <c r="B18" s="13"/>
      <c r="C18" s="23">
        <f ca="1">+C15</f>
        <v>54830.960384057107</v>
      </c>
      <c r="D18" s="24">
        <f ca="1">+C16</f>
        <v>1.6146307315026334</v>
      </c>
      <c r="E18" s="25" t="s">
        <v>52</v>
      </c>
    </row>
    <row r="19" spans="1:32" ht="13.5" thickTop="1" x14ac:dyDescent="0.2">
      <c r="A19" s="31" t="s">
        <v>57</v>
      </c>
      <c r="E19" s="32">
        <v>21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41</v>
      </c>
      <c r="J20" s="8" t="s">
        <v>43</v>
      </c>
      <c r="K20" s="8" t="s">
        <v>56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2" x14ac:dyDescent="0.2">
      <c r="A21" t="s">
        <v>12</v>
      </c>
      <c r="C21" s="26">
        <v>28181.387999999999</v>
      </c>
      <c r="D21" s="26" t="s">
        <v>14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H21">
        <f>+G21</f>
        <v>0</v>
      </c>
      <c r="O21">
        <f t="shared" ref="O21:O38" ca="1" si="3">+C$11+C$12*$F21</f>
        <v>9.2160606149118515E-2</v>
      </c>
      <c r="Q21" s="2">
        <f t="shared" ref="Q21:Q38" si="4">+C21-15018.5</f>
        <v>13162.887999999999</v>
      </c>
    </row>
    <row r="22" spans="1:32" x14ac:dyDescent="0.2">
      <c r="A22" t="s">
        <v>29</v>
      </c>
      <c r="C22" s="26">
        <v>40147.489000000001</v>
      </c>
      <c r="D22" s="26"/>
      <c r="E22">
        <f t="shared" si="0"/>
        <v>7411.0024525590852</v>
      </c>
      <c r="F22">
        <f t="shared" si="1"/>
        <v>7411</v>
      </c>
      <c r="G22">
        <f t="shared" si="2"/>
        <v>3.9600000018253922E-3</v>
      </c>
      <c r="I22">
        <f t="shared" ref="I22:I33" si="5">+G22</f>
        <v>3.9600000018253922E-3</v>
      </c>
      <c r="O22">
        <f t="shared" ca="1" si="3"/>
        <v>2.347177216515664E-2</v>
      </c>
      <c r="Q22" s="2">
        <f t="shared" si="4"/>
        <v>25128.989000000001</v>
      </c>
      <c r="AB22">
        <v>7</v>
      </c>
      <c r="AD22" t="s">
        <v>28</v>
      </c>
      <c r="AF22" t="s">
        <v>30</v>
      </c>
    </row>
    <row r="23" spans="1:32" x14ac:dyDescent="0.2">
      <c r="A23" t="s">
        <v>33</v>
      </c>
      <c r="C23" s="26">
        <v>43927.360000000001</v>
      </c>
      <c r="D23" s="26"/>
      <c r="E23">
        <f t="shared" si="0"/>
        <v>9752.0016845860391</v>
      </c>
      <c r="F23">
        <f t="shared" si="1"/>
        <v>9752</v>
      </c>
      <c r="G23">
        <f t="shared" si="2"/>
        <v>2.7200000040465966E-3</v>
      </c>
      <c r="I23">
        <f t="shared" si="5"/>
        <v>2.7200000040465966E-3</v>
      </c>
      <c r="O23">
        <f t="shared" ca="1" si="3"/>
        <v>1.7742198299178363E-3</v>
      </c>
      <c r="Q23" s="2">
        <f t="shared" si="4"/>
        <v>28908.86</v>
      </c>
      <c r="AA23" t="s">
        <v>31</v>
      </c>
      <c r="AB23">
        <v>9</v>
      </c>
      <c r="AD23" t="s">
        <v>32</v>
      </c>
      <c r="AF23" t="s">
        <v>30</v>
      </c>
    </row>
    <row r="24" spans="1:32" x14ac:dyDescent="0.2">
      <c r="A24" t="s">
        <v>34</v>
      </c>
      <c r="C24" s="26">
        <v>44644.273999999998</v>
      </c>
      <c r="D24" s="26"/>
      <c r="E24">
        <f t="shared" si="0"/>
        <v>10196.010256156169</v>
      </c>
      <c r="F24">
        <f t="shared" si="1"/>
        <v>10196</v>
      </c>
      <c r="G24">
        <f t="shared" si="2"/>
        <v>1.6559999996388797E-2</v>
      </c>
      <c r="I24">
        <f t="shared" si="5"/>
        <v>1.6559999996388797E-2</v>
      </c>
      <c r="O24">
        <f t="shared" ca="1" si="3"/>
        <v>-2.3409930008579105E-3</v>
      </c>
      <c r="Q24" s="2">
        <f t="shared" si="4"/>
        <v>29625.773999999998</v>
      </c>
      <c r="AA24" t="s">
        <v>31</v>
      </c>
      <c r="AB24">
        <v>7</v>
      </c>
      <c r="AD24" t="s">
        <v>32</v>
      </c>
      <c r="AF24" t="s">
        <v>30</v>
      </c>
    </row>
    <row r="25" spans="1:32" x14ac:dyDescent="0.2">
      <c r="A25" t="s">
        <v>35</v>
      </c>
      <c r="C25" s="26">
        <v>45385.334000000003</v>
      </c>
      <c r="D25" s="26"/>
      <c r="E25">
        <f t="shared" si="0"/>
        <v>10654.973244809989</v>
      </c>
      <c r="F25">
        <f t="shared" si="1"/>
        <v>10655</v>
      </c>
      <c r="G25">
        <f t="shared" si="2"/>
        <v>-4.3200000000069849E-2</v>
      </c>
      <c r="I25">
        <f t="shared" si="5"/>
        <v>-4.3200000000069849E-2</v>
      </c>
      <c r="O25">
        <f t="shared" ca="1" si="3"/>
        <v>-6.5952332921328377E-3</v>
      </c>
      <c r="Q25" s="2">
        <f t="shared" si="4"/>
        <v>30366.834000000003</v>
      </c>
      <c r="AA25" t="s">
        <v>31</v>
      </c>
      <c r="AB25">
        <v>7</v>
      </c>
      <c r="AD25" t="s">
        <v>32</v>
      </c>
      <c r="AF25" t="s">
        <v>30</v>
      </c>
    </row>
    <row r="26" spans="1:32" x14ac:dyDescent="0.2">
      <c r="A26" t="s">
        <v>36</v>
      </c>
      <c r="C26" s="26">
        <v>47531.38</v>
      </c>
      <c r="D26" s="26"/>
      <c r="E26">
        <f t="shared" si="0"/>
        <v>11984.090571272853</v>
      </c>
      <c r="F26">
        <f t="shared" si="1"/>
        <v>11984</v>
      </c>
      <c r="G26">
        <f t="shared" si="2"/>
        <v>0.14623999999457737</v>
      </c>
      <c r="I26">
        <f t="shared" si="5"/>
        <v>0.14623999999457737</v>
      </c>
      <c r="O26">
        <f t="shared" ca="1" si="3"/>
        <v>-1.8913066292360239E-2</v>
      </c>
      <c r="Q26" s="2">
        <f t="shared" si="4"/>
        <v>32512.879999999997</v>
      </c>
      <c r="AA26" t="s">
        <v>31</v>
      </c>
      <c r="AB26">
        <v>8</v>
      </c>
      <c r="AD26" t="s">
        <v>32</v>
      </c>
      <c r="AF26" t="s">
        <v>30</v>
      </c>
    </row>
    <row r="27" spans="1:32" x14ac:dyDescent="0.2">
      <c r="A27" t="s">
        <v>37</v>
      </c>
      <c r="C27" s="26">
        <v>47925.286</v>
      </c>
      <c r="D27" s="26"/>
      <c r="E27">
        <f t="shared" si="0"/>
        <v>12228.049596194818</v>
      </c>
      <c r="F27">
        <f t="shared" si="1"/>
        <v>12228</v>
      </c>
      <c r="G27">
        <f t="shared" si="2"/>
        <v>8.007999999972526E-2</v>
      </c>
      <c r="I27">
        <f t="shared" si="5"/>
        <v>8.007999999972526E-2</v>
      </c>
      <c r="O27">
        <f t="shared" ca="1" si="3"/>
        <v>-2.1174579649813577E-2</v>
      </c>
      <c r="Q27" s="2">
        <f t="shared" si="4"/>
        <v>32906.786</v>
      </c>
      <c r="AA27" t="s">
        <v>31</v>
      </c>
      <c r="AB27">
        <v>6</v>
      </c>
      <c r="AD27" t="s">
        <v>32</v>
      </c>
      <c r="AF27" t="s">
        <v>30</v>
      </c>
    </row>
    <row r="28" spans="1:32" x14ac:dyDescent="0.2">
      <c r="A28" t="s">
        <v>37</v>
      </c>
      <c r="C28" s="26">
        <v>47941.423999999999</v>
      </c>
      <c r="D28" s="26"/>
      <c r="E28">
        <f t="shared" si="0"/>
        <v>12238.044393796759</v>
      </c>
      <c r="F28">
        <f t="shared" si="1"/>
        <v>12238</v>
      </c>
      <c r="G28">
        <f t="shared" si="2"/>
        <v>7.1680000000924338E-2</v>
      </c>
      <c r="I28">
        <f t="shared" si="5"/>
        <v>7.1680000000924338E-2</v>
      </c>
      <c r="O28">
        <f t="shared" ca="1" si="3"/>
        <v>-2.1267264623479706E-2</v>
      </c>
      <c r="Q28" s="2">
        <f t="shared" si="4"/>
        <v>32922.923999999999</v>
      </c>
      <c r="AA28" t="s">
        <v>31</v>
      </c>
      <c r="AB28">
        <v>7</v>
      </c>
      <c r="AD28" t="s">
        <v>32</v>
      </c>
      <c r="AF28" t="s">
        <v>30</v>
      </c>
    </row>
    <row r="29" spans="1:32" x14ac:dyDescent="0.2">
      <c r="A29" t="s">
        <v>37</v>
      </c>
      <c r="C29" s="26">
        <v>47946.294000000002</v>
      </c>
      <c r="D29" s="26"/>
      <c r="E29">
        <f t="shared" si="0"/>
        <v>12241.060546004064</v>
      </c>
      <c r="F29">
        <f t="shared" si="1"/>
        <v>12241</v>
      </c>
      <c r="G29">
        <f t="shared" si="2"/>
        <v>9.7759999996924307E-2</v>
      </c>
      <c r="I29">
        <f t="shared" si="5"/>
        <v>9.7759999996924307E-2</v>
      </c>
      <c r="O29">
        <f t="shared" ca="1" si="3"/>
        <v>-2.1295070115579545E-2</v>
      </c>
      <c r="Q29" s="2">
        <f t="shared" si="4"/>
        <v>32927.794000000002</v>
      </c>
      <c r="AA29" t="s">
        <v>31</v>
      </c>
      <c r="AB29">
        <v>11</v>
      </c>
      <c r="AD29" t="s">
        <v>32</v>
      </c>
      <c r="AF29" t="s">
        <v>30</v>
      </c>
    </row>
    <row r="30" spans="1:32" x14ac:dyDescent="0.2">
      <c r="A30" t="s">
        <v>37</v>
      </c>
      <c r="C30" s="26">
        <v>47954.341</v>
      </c>
      <c r="D30" s="26"/>
      <c r="E30">
        <f t="shared" si="0"/>
        <v>12246.044319476787</v>
      </c>
      <c r="F30">
        <f t="shared" si="1"/>
        <v>12246</v>
      </c>
      <c r="G30">
        <f t="shared" si="2"/>
        <v>7.1559999996679835E-2</v>
      </c>
      <c r="I30">
        <f t="shared" si="5"/>
        <v>7.1559999996679835E-2</v>
      </c>
      <c r="O30">
        <f t="shared" ca="1" si="3"/>
        <v>-2.1341412602412596E-2</v>
      </c>
      <c r="Q30" s="2">
        <f t="shared" si="4"/>
        <v>32935.841</v>
      </c>
      <c r="AA30" t="s">
        <v>31</v>
      </c>
      <c r="AB30">
        <v>7</v>
      </c>
      <c r="AD30" t="s">
        <v>32</v>
      </c>
      <c r="AF30" t="s">
        <v>30</v>
      </c>
    </row>
    <row r="31" spans="1:32" x14ac:dyDescent="0.2">
      <c r="A31" t="s">
        <v>38</v>
      </c>
      <c r="C31" s="26">
        <v>48700.309000000001</v>
      </c>
      <c r="D31" s="26">
        <v>6.0000000000000001E-3</v>
      </c>
      <c r="E31">
        <f t="shared" si="0"/>
        <v>12708.04699499579</v>
      </c>
      <c r="F31">
        <f t="shared" si="1"/>
        <v>12708</v>
      </c>
      <c r="G31">
        <f t="shared" si="2"/>
        <v>7.587999999668682E-2</v>
      </c>
      <c r="I31">
        <f t="shared" si="5"/>
        <v>7.587999999668682E-2</v>
      </c>
      <c r="O31">
        <f t="shared" ca="1" si="3"/>
        <v>-2.5623458385787362E-2</v>
      </c>
      <c r="Q31" s="2">
        <f t="shared" si="4"/>
        <v>33681.809000000001</v>
      </c>
      <c r="AA31" t="s">
        <v>31</v>
      </c>
      <c r="AB31">
        <v>7</v>
      </c>
      <c r="AD31" t="s">
        <v>32</v>
      </c>
      <c r="AF31" t="s">
        <v>30</v>
      </c>
    </row>
    <row r="32" spans="1:32" x14ac:dyDescent="0.2">
      <c r="A32" t="s">
        <v>39</v>
      </c>
      <c r="C32" s="26">
        <v>49788.296999999999</v>
      </c>
      <c r="D32" s="26">
        <v>5.0000000000000001E-3</v>
      </c>
      <c r="E32">
        <f t="shared" si="0"/>
        <v>13381.873978100381</v>
      </c>
      <c r="F32">
        <f t="shared" si="1"/>
        <v>13382</v>
      </c>
      <c r="G32">
        <f t="shared" si="2"/>
        <v>-0.20348000000376487</v>
      </c>
      <c r="I32">
        <f t="shared" si="5"/>
        <v>-0.20348000000376487</v>
      </c>
      <c r="O32">
        <f t="shared" ca="1" si="3"/>
        <v>-3.1870425610883879E-2</v>
      </c>
      <c r="Q32" s="2">
        <f t="shared" si="4"/>
        <v>34769.796999999999</v>
      </c>
      <c r="AA32" t="s">
        <v>31</v>
      </c>
      <c r="AB32">
        <v>7</v>
      </c>
      <c r="AD32" t="s">
        <v>32</v>
      </c>
      <c r="AF32" t="s">
        <v>30</v>
      </c>
    </row>
    <row r="33" spans="1:32" x14ac:dyDescent="0.2">
      <c r="A33" t="s">
        <v>40</v>
      </c>
      <c r="C33" s="26">
        <v>50148.307999999997</v>
      </c>
      <c r="D33" s="26">
        <v>5.0000000000000001E-3</v>
      </c>
      <c r="E33">
        <f t="shared" si="0"/>
        <v>13604.840707526135</v>
      </c>
      <c r="F33">
        <f t="shared" si="1"/>
        <v>13605</v>
      </c>
      <c r="G33">
        <f t="shared" si="2"/>
        <v>-0.25720000000001164</v>
      </c>
      <c r="I33">
        <f t="shared" si="5"/>
        <v>-0.25720000000001164</v>
      </c>
      <c r="O33">
        <f t="shared" ca="1" si="3"/>
        <v>-3.3937300523638372E-2</v>
      </c>
      <c r="Q33" s="2">
        <f t="shared" si="4"/>
        <v>35129.807999999997</v>
      </c>
      <c r="AA33" t="s">
        <v>31</v>
      </c>
      <c r="AB33">
        <v>6</v>
      </c>
      <c r="AD33" t="s">
        <v>32</v>
      </c>
      <c r="AF33" t="s">
        <v>30</v>
      </c>
    </row>
    <row r="34" spans="1:32" x14ac:dyDescent="0.2">
      <c r="A34" s="27" t="s">
        <v>54</v>
      </c>
      <c r="B34" s="15" t="s">
        <v>55</v>
      </c>
      <c r="C34" s="26">
        <v>53344.779699999999</v>
      </c>
      <c r="D34" s="10">
        <v>1E-4</v>
      </c>
      <c r="E34">
        <f t="shared" si="0"/>
        <v>15584.521441311994</v>
      </c>
      <c r="F34">
        <f t="shared" si="1"/>
        <v>15584.5</v>
      </c>
      <c r="G34">
        <f t="shared" si="2"/>
        <v>3.4619999998540152E-2</v>
      </c>
      <c r="K34">
        <f>+G34</f>
        <v>3.4619999998540152E-2</v>
      </c>
      <c r="O34">
        <f t="shared" ca="1" si="3"/>
        <v>-5.2284291060846907E-2</v>
      </c>
      <c r="Q34" s="2">
        <f t="shared" si="4"/>
        <v>38326.279699999999</v>
      </c>
    </row>
    <row r="35" spans="1:32" x14ac:dyDescent="0.2">
      <c r="A35" s="6" t="s">
        <v>53</v>
      </c>
      <c r="C35" s="26">
        <v>53441.645100000002</v>
      </c>
      <c r="D35" s="26">
        <v>2.0000000000000001E-4</v>
      </c>
      <c r="E35">
        <f t="shared" si="0"/>
        <v>15644.513389981668</v>
      </c>
      <c r="F35">
        <f t="shared" si="1"/>
        <v>15644.5</v>
      </c>
      <c r="G35">
        <f t="shared" si="2"/>
        <v>2.162000000680564E-2</v>
      </c>
      <c r="J35">
        <f>+G35</f>
        <v>2.162000000680564E-2</v>
      </c>
      <c r="O35">
        <f t="shared" ca="1" si="3"/>
        <v>-5.2840400902843629E-2</v>
      </c>
      <c r="Q35" s="2">
        <f t="shared" si="4"/>
        <v>38423.145100000002</v>
      </c>
    </row>
    <row r="36" spans="1:32" x14ac:dyDescent="0.2">
      <c r="A36" s="34" t="s">
        <v>60</v>
      </c>
      <c r="B36" s="35" t="s">
        <v>61</v>
      </c>
      <c r="C36" s="36">
        <v>54455.474099999999</v>
      </c>
      <c r="D36" s="36">
        <v>1E-3</v>
      </c>
      <c r="E36">
        <f t="shared" si="0"/>
        <v>16272.411249566467</v>
      </c>
      <c r="F36">
        <f t="shared" si="1"/>
        <v>16272.5</v>
      </c>
      <c r="G36">
        <f t="shared" si="2"/>
        <v>-0.1433000000033644</v>
      </c>
      <c r="K36">
        <f>+G36</f>
        <v>-0.1433000000033644</v>
      </c>
      <c r="O36">
        <f t="shared" ca="1" si="3"/>
        <v>-5.8661017249076006E-2</v>
      </c>
      <c r="Q36" s="2">
        <f t="shared" si="4"/>
        <v>39436.974099999999</v>
      </c>
    </row>
    <row r="37" spans="1:32" x14ac:dyDescent="0.2">
      <c r="A37" s="34" t="s">
        <v>60</v>
      </c>
      <c r="B37" s="35" t="s">
        <v>61</v>
      </c>
      <c r="C37" s="36">
        <v>54476.462099999997</v>
      </c>
      <c r="D37" s="36">
        <v>1.6999999999999999E-3</v>
      </c>
      <c r="E37">
        <f t="shared" si="0"/>
        <v>16285.409812713668</v>
      </c>
      <c r="F37">
        <f t="shared" si="1"/>
        <v>16285.5</v>
      </c>
      <c r="G37">
        <f t="shared" si="2"/>
        <v>-0.14562000000296393</v>
      </c>
      <c r="K37">
        <f>+G37</f>
        <v>-0.14562000000296393</v>
      </c>
      <c r="O37">
        <f t="shared" ca="1" si="3"/>
        <v>-5.878150771484196E-2</v>
      </c>
      <c r="Q37" s="2">
        <f t="shared" si="4"/>
        <v>39457.962099999997</v>
      </c>
    </row>
    <row r="38" spans="1:32" x14ac:dyDescent="0.2">
      <c r="A38" s="27" t="s">
        <v>58</v>
      </c>
      <c r="B38" s="33" t="s">
        <v>55</v>
      </c>
      <c r="C38" s="27">
        <v>54831.628299999997</v>
      </c>
      <c r="D38" s="27">
        <v>2.9999999999999997E-4</v>
      </c>
      <c r="E38">
        <f t="shared" si="0"/>
        <v>16505.375997126292</v>
      </c>
      <c r="F38">
        <f t="shared" si="1"/>
        <v>16505.5</v>
      </c>
      <c r="G38">
        <f t="shared" si="2"/>
        <v>-0.20021999999880791</v>
      </c>
      <c r="K38">
        <f>+G38</f>
        <v>-0.20021999999880791</v>
      </c>
      <c r="O38">
        <f t="shared" ca="1" si="3"/>
        <v>-6.0820577135496615E-2</v>
      </c>
      <c r="Q38" s="2">
        <f t="shared" si="4"/>
        <v>39813.128299999997</v>
      </c>
    </row>
    <row r="39" spans="1:32" x14ac:dyDescent="0.2">
      <c r="C39" s="10"/>
      <c r="D39" s="10"/>
    </row>
    <row r="40" spans="1:32" x14ac:dyDescent="0.2">
      <c r="C40" s="10"/>
      <c r="D40" s="10"/>
    </row>
    <row r="41" spans="1:32" x14ac:dyDescent="0.2">
      <c r="C41" s="10"/>
      <c r="D41" s="10"/>
    </row>
    <row r="42" spans="1:32" x14ac:dyDescent="0.2">
      <c r="C42" s="10"/>
      <c r="D42" s="10"/>
    </row>
    <row r="43" spans="1:32" x14ac:dyDescent="0.2">
      <c r="C43" s="10"/>
      <c r="D43" s="10"/>
    </row>
    <row r="44" spans="1:32" x14ac:dyDescent="0.2">
      <c r="C44" s="10"/>
      <c r="D44" s="10"/>
    </row>
    <row r="45" spans="1:32" x14ac:dyDescent="0.2">
      <c r="C45" s="10"/>
      <c r="D45" s="10"/>
    </row>
    <row r="46" spans="1:32" x14ac:dyDescent="0.2">
      <c r="C46" s="10"/>
      <c r="D46" s="10"/>
    </row>
    <row r="47" spans="1:32" x14ac:dyDescent="0.2">
      <c r="C47" s="10"/>
      <c r="D47" s="10"/>
    </row>
    <row r="48" spans="1:32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7"/>
  <sheetViews>
    <sheetView topLeftCell="A4" workbookViewId="0">
      <selection activeCell="A36" sqref="A36:C52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49" t="s">
        <v>72</v>
      </c>
      <c r="I1" s="50" t="s">
        <v>73</v>
      </c>
      <c r="J1" s="51" t="s">
        <v>74</v>
      </c>
    </row>
    <row r="2" spans="1:16" x14ac:dyDescent="0.2">
      <c r="I2" s="52" t="s">
        <v>75</v>
      </c>
      <c r="J2" s="53" t="s">
        <v>76</v>
      </c>
    </row>
    <row r="3" spans="1:16" x14ac:dyDescent="0.2">
      <c r="A3" s="54" t="s">
        <v>77</v>
      </c>
      <c r="I3" s="52" t="s">
        <v>78</v>
      </c>
      <c r="J3" s="53" t="s">
        <v>79</v>
      </c>
    </row>
    <row r="4" spans="1:16" x14ac:dyDescent="0.2">
      <c r="I4" s="52" t="s">
        <v>80</v>
      </c>
      <c r="J4" s="53" t="s">
        <v>79</v>
      </c>
    </row>
    <row r="5" spans="1:16" ht="13.5" thickBot="1" x14ac:dyDescent="0.25">
      <c r="I5" s="55" t="s">
        <v>81</v>
      </c>
      <c r="J5" s="56" t="s">
        <v>82</v>
      </c>
    </row>
    <row r="10" spans="1:16" ht="13.5" thickBot="1" x14ac:dyDescent="0.25"/>
    <row r="11" spans="1:16" ht="12.75" customHeight="1" thickBot="1" x14ac:dyDescent="0.25">
      <c r="A11" s="10" t="str">
        <f t="shared" ref="A11:A52" si="0">P11</f>
        <v> AN 260.12 </v>
      </c>
      <c r="B11" s="15" t="str">
        <f t="shared" ref="B11:B52" si="1">IF(H11=INT(H11),"I","II")</f>
        <v>I</v>
      </c>
      <c r="C11" s="10">
        <f t="shared" ref="C11:C52" si="2">1*G11</f>
        <v>28181.387999999999</v>
      </c>
      <c r="D11" s="13" t="str">
        <f t="shared" ref="D11:D52" si="3">VLOOKUP(F11,I$1:J$5,2,FALSE)</f>
        <v>vis</v>
      </c>
      <c r="E11" s="57">
        <f>VLOOKUP(C11,'Active '!C$21:E$973,3,FALSE)</f>
        <v>0</v>
      </c>
      <c r="F11" s="15" t="s">
        <v>81</v>
      </c>
      <c r="G11" s="13" t="str">
        <f t="shared" ref="G11:G52" si="4">MID(I11,3,LEN(I11)-3)</f>
        <v>28181.388</v>
      </c>
      <c r="H11" s="10">
        <f t="shared" ref="H11:H52" si="5">1*K11</f>
        <v>0</v>
      </c>
      <c r="I11" s="58" t="s">
        <v>131</v>
      </c>
      <c r="J11" s="59" t="s">
        <v>132</v>
      </c>
      <c r="K11" s="58">
        <v>0</v>
      </c>
      <c r="L11" s="58" t="s">
        <v>133</v>
      </c>
      <c r="M11" s="59" t="s">
        <v>87</v>
      </c>
      <c r="N11" s="59"/>
      <c r="O11" s="60" t="s">
        <v>134</v>
      </c>
      <c r="P11" s="60" t="s">
        <v>135</v>
      </c>
    </row>
    <row r="12" spans="1:16" ht="12.75" customHeight="1" thickBot="1" x14ac:dyDescent="0.25">
      <c r="A12" s="10" t="str">
        <f t="shared" si="0"/>
        <v> ORI 110 </v>
      </c>
      <c r="B12" s="15" t="str">
        <f t="shared" si="1"/>
        <v>I</v>
      </c>
      <c r="C12" s="10">
        <f t="shared" si="2"/>
        <v>40147.489000000001</v>
      </c>
      <c r="D12" s="13" t="str">
        <f t="shared" si="3"/>
        <v>vis</v>
      </c>
      <c r="E12" s="57">
        <f>VLOOKUP(C12,'Active '!C$21:E$973,3,FALSE)</f>
        <v>7412.1273584156643</v>
      </c>
      <c r="F12" s="15" t="s">
        <v>81</v>
      </c>
      <c r="G12" s="13" t="str">
        <f t="shared" si="4"/>
        <v>40147.489</v>
      </c>
      <c r="H12" s="10">
        <f t="shared" si="5"/>
        <v>7411</v>
      </c>
      <c r="I12" s="58" t="s">
        <v>136</v>
      </c>
      <c r="J12" s="59" t="s">
        <v>137</v>
      </c>
      <c r="K12" s="58">
        <v>7411</v>
      </c>
      <c r="L12" s="58" t="s">
        <v>84</v>
      </c>
      <c r="M12" s="59" t="s">
        <v>87</v>
      </c>
      <c r="N12" s="59"/>
      <c r="O12" s="60" t="s">
        <v>88</v>
      </c>
      <c r="P12" s="60" t="s">
        <v>138</v>
      </c>
    </row>
    <row r="13" spans="1:16" ht="12.75" customHeight="1" thickBot="1" x14ac:dyDescent="0.25">
      <c r="A13" s="10" t="str">
        <f t="shared" si="0"/>
        <v> BBS 42 </v>
      </c>
      <c r="B13" s="15" t="str">
        <f t="shared" si="1"/>
        <v>I</v>
      </c>
      <c r="C13" s="10">
        <f t="shared" si="2"/>
        <v>43927.360000000001</v>
      </c>
      <c r="D13" s="13" t="str">
        <f t="shared" si="3"/>
        <v>vis</v>
      </c>
      <c r="E13" s="57">
        <f>VLOOKUP(C13,'Active '!C$21:E$973,3,FALSE)</f>
        <v>9753.4819274922556</v>
      </c>
      <c r="F13" s="15" t="s">
        <v>81</v>
      </c>
      <c r="G13" s="13" t="str">
        <f t="shared" si="4"/>
        <v>43927.360</v>
      </c>
      <c r="H13" s="10">
        <f t="shared" si="5"/>
        <v>9752</v>
      </c>
      <c r="I13" s="58" t="s">
        <v>139</v>
      </c>
      <c r="J13" s="59" t="s">
        <v>140</v>
      </c>
      <c r="K13" s="58">
        <v>9752</v>
      </c>
      <c r="L13" s="58" t="s">
        <v>141</v>
      </c>
      <c r="M13" s="59" t="s">
        <v>87</v>
      </c>
      <c r="N13" s="59"/>
      <c r="O13" s="60" t="s">
        <v>93</v>
      </c>
      <c r="P13" s="60" t="s">
        <v>89</v>
      </c>
    </row>
    <row r="14" spans="1:16" ht="12.75" customHeight="1" thickBot="1" x14ac:dyDescent="0.25">
      <c r="A14" s="10" t="str">
        <f t="shared" si="0"/>
        <v> BBS 53 </v>
      </c>
      <c r="B14" s="15" t="str">
        <f t="shared" si="1"/>
        <v>I</v>
      </c>
      <c r="C14" s="10">
        <f t="shared" si="2"/>
        <v>44644.273999999998</v>
      </c>
      <c r="D14" s="13" t="str">
        <f t="shared" si="3"/>
        <v>vis</v>
      </c>
      <c r="E14" s="57">
        <f>VLOOKUP(C14,'Active '!C$21:E$973,3,FALSE)</f>
        <v>10197.55789451202</v>
      </c>
      <c r="F14" s="15" t="s">
        <v>81</v>
      </c>
      <c r="G14" s="13" t="str">
        <f t="shared" si="4"/>
        <v>44644.274</v>
      </c>
      <c r="H14" s="10">
        <f t="shared" si="5"/>
        <v>10196</v>
      </c>
      <c r="I14" s="58" t="s">
        <v>142</v>
      </c>
      <c r="J14" s="59" t="s">
        <v>143</v>
      </c>
      <c r="K14" s="58">
        <v>10196</v>
      </c>
      <c r="L14" s="58" t="s">
        <v>144</v>
      </c>
      <c r="M14" s="59" t="s">
        <v>87</v>
      </c>
      <c r="N14" s="59"/>
      <c r="O14" s="60" t="s">
        <v>93</v>
      </c>
      <c r="P14" s="60" t="s">
        <v>145</v>
      </c>
    </row>
    <row r="15" spans="1:16" ht="12.75" customHeight="1" thickBot="1" x14ac:dyDescent="0.25">
      <c r="A15" s="10" t="str">
        <f t="shared" si="0"/>
        <v> BBS 65 </v>
      </c>
      <c r="B15" s="15" t="str">
        <f t="shared" si="1"/>
        <v>I</v>
      </c>
      <c r="C15" s="10">
        <f t="shared" si="2"/>
        <v>45385.334000000003</v>
      </c>
      <c r="D15" s="13" t="str">
        <f t="shared" si="3"/>
        <v>vis</v>
      </c>
      <c r="E15" s="57">
        <f>VLOOKUP(C15,'Active '!C$21:E$973,3,FALSE)</f>
        <v>10656.59054852585</v>
      </c>
      <c r="F15" s="15" t="s">
        <v>81</v>
      </c>
      <c r="G15" s="13" t="str">
        <f t="shared" si="4"/>
        <v>45385.334</v>
      </c>
      <c r="H15" s="10">
        <f t="shared" si="5"/>
        <v>10655</v>
      </c>
      <c r="I15" s="58" t="s">
        <v>146</v>
      </c>
      <c r="J15" s="59" t="s">
        <v>147</v>
      </c>
      <c r="K15" s="58">
        <v>10655</v>
      </c>
      <c r="L15" s="58" t="s">
        <v>92</v>
      </c>
      <c r="M15" s="59" t="s">
        <v>87</v>
      </c>
      <c r="N15" s="59"/>
      <c r="O15" s="60" t="s">
        <v>93</v>
      </c>
      <c r="P15" s="60" t="s">
        <v>91</v>
      </c>
    </row>
    <row r="16" spans="1:16" ht="12.75" customHeight="1" thickBot="1" x14ac:dyDescent="0.25">
      <c r="A16" s="10" t="str">
        <f t="shared" si="0"/>
        <v> BBS 91 </v>
      </c>
      <c r="B16" s="15" t="str">
        <f t="shared" si="1"/>
        <v>I</v>
      </c>
      <c r="C16" s="10">
        <f t="shared" si="2"/>
        <v>47531.38</v>
      </c>
      <c r="D16" s="13" t="str">
        <f t="shared" si="3"/>
        <v>vis</v>
      </c>
      <c r="E16" s="57">
        <f>VLOOKUP(C16,'Active '!C$21:E$973,3,FALSE)</f>
        <v>11985.909619877368</v>
      </c>
      <c r="F16" s="15" t="s">
        <v>81</v>
      </c>
      <c r="G16" s="13" t="str">
        <f t="shared" si="4"/>
        <v>47531.380</v>
      </c>
      <c r="H16" s="10">
        <f t="shared" si="5"/>
        <v>11984</v>
      </c>
      <c r="I16" s="58" t="s">
        <v>148</v>
      </c>
      <c r="J16" s="59" t="s">
        <v>149</v>
      </c>
      <c r="K16" s="58">
        <v>11984</v>
      </c>
      <c r="L16" s="58" t="s">
        <v>150</v>
      </c>
      <c r="M16" s="59" t="s">
        <v>87</v>
      </c>
      <c r="N16" s="59"/>
      <c r="O16" s="60" t="s">
        <v>93</v>
      </c>
      <c r="P16" s="60" t="s">
        <v>94</v>
      </c>
    </row>
    <row r="17" spans="1:16" ht="12.75" customHeight="1" thickBot="1" x14ac:dyDescent="0.25">
      <c r="A17" s="10" t="str">
        <f t="shared" si="0"/>
        <v> BBS 94 </v>
      </c>
      <c r="B17" s="15" t="str">
        <f t="shared" si="1"/>
        <v>I</v>
      </c>
      <c r="C17" s="10">
        <f t="shared" si="2"/>
        <v>47925.286</v>
      </c>
      <c r="D17" s="13" t="str">
        <f t="shared" si="3"/>
        <v>vis</v>
      </c>
      <c r="E17" s="57">
        <f>VLOOKUP(C17,'Active '!C$21:E$973,3,FALSE)</f>
        <v>12229.905675003771</v>
      </c>
      <c r="F17" s="15" t="s">
        <v>81</v>
      </c>
      <c r="G17" s="13" t="str">
        <f t="shared" si="4"/>
        <v>47925.286</v>
      </c>
      <c r="H17" s="10">
        <f t="shared" si="5"/>
        <v>12228</v>
      </c>
      <c r="I17" s="58" t="s">
        <v>156</v>
      </c>
      <c r="J17" s="59" t="s">
        <v>157</v>
      </c>
      <c r="K17" s="58">
        <v>12228</v>
      </c>
      <c r="L17" s="58" t="s">
        <v>158</v>
      </c>
      <c r="M17" s="59" t="s">
        <v>87</v>
      </c>
      <c r="N17" s="59"/>
      <c r="O17" s="60" t="s">
        <v>93</v>
      </c>
      <c r="P17" s="60" t="s">
        <v>95</v>
      </c>
    </row>
    <row r="18" spans="1:16" ht="12.75" customHeight="1" thickBot="1" x14ac:dyDescent="0.25">
      <c r="A18" s="10" t="str">
        <f t="shared" si="0"/>
        <v> BBS 94 </v>
      </c>
      <c r="B18" s="15" t="str">
        <f t="shared" si="1"/>
        <v>I</v>
      </c>
      <c r="C18" s="10">
        <f t="shared" si="2"/>
        <v>47941.423999999999</v>
      </c>
      <c r="D18" s="13" t="str">
        <f t="shared" si="3"/>
        <v>vis</v>
      </c>
      <c r="E18" s="57">
        <f>VLOOKUP(C18,'Active '!C$21:E$973,3,FALSE)</f>
        <v>12239.901989702275</v>
      </c>
      <c r="F18" s="15" t="s">
        <v>81</v>
      </c>
      <c r="G18" s="13" t="str">
        <f t="shared" si="4"/>
        <v>47941.424</v>
      </c>
      <c r="H18" s="10">
        <f t="shared" si="5"/>
        <v>12238</v>
      </c>
      <c r="I18" s="58" t="s">
        <v>162</v>
      </c>
      <c r="J18" s="59" t="s">
        <v>163</v>
      </c>
      <c r="K18" s="58">
        <v>12238</v>
      </c>
      <c r="L18" s="58" t="s">
        <v>164</v>
      </c>
      <c r="M18" s="59" t="s">
        <v>87</v>
      </c>
      <c r="N18" s="59"/>
      <c r="O18" s="60" t="s">
        <v>93</v>
      </c>
      <c r="P18" s="60" t="s">
        <v>95</v>
      </c>
    </row>
    <row r="19" spans="1:16" ht="12.75" customHeight="1" thickBot="1" x14ac:dyDescent="0.25">
      <c r="A19" s="10" t="str">
        <f t="shared" si="0"/>
        <v> BBS 94 </v>
      </c>
      <c r="B19" s="15" t="str">
        <f t="shared" si="1"/>
        <v>I</v>
      </c>
      <c r="C19" s="10">
        <f t="shared" si="2"/>
        <v>47946.294000000002</v>
      </c>
      <c r="D19" s="13" t="str">
        <f t="shared" si="3"/>
        <v>vis</v>
      </c>
      <c r="E19" s="57">
        <f>VLOOKUP(C19,'Active '!C$21:E$973,3,FALSE)</f>
        <v>12242.918599727171</v>
      </c>
      <c r="F19" s="15" t="s">
        <v>81</v>
      </c>
      <c r="G19" s="13" t="str">
        <f t="shared" si="4"/>
        <v>47946.294</v>
      </c>
      <c r="H19" s="10">
        <f t="shared" si="5"/>
        <v>12241</v>
      </c>
      <c r="I19" s="58" t="s">
        <v>165</v>
      </c>
      <c r="J19" s="59" t="s">
        <v>166</v>
      </c>
      <c r="K19" s="58">
        <v>12241</v>
      </c>
      <c r="L19" s="58" t="s">
        <v>167</v>
      </c>
      <c r="M19" s="59" t="s">
        <v>87</v>
      </c>
      <c r="N19" s="59"/>
      <c r="O19" s="60" t="s">
        <v>93</v>
      </c>
      <c r="P19" s="60" t="s">
        <v>95</v>
      </c>
    </row>
    <row r="20" spans="1:16" ht="12.75" customHeight="1" thickBot="1" x14ac:dyDescent="0.25">
      <c r="A20" s="10" t="str">
        <f t="shared" si="0"/>
        <v> BBS 94 </v>
      </c>
      <c r="B20" s="15" t="str">
        <f t="shared" si="1"/>
        <v>I</v>
      </c>
      <c r="C20" s="10">
        <f t="shared" si="2"/>
        <v>47954.341</v>
      </c>
      <c r="D20" s="13" t="str">
        <f t="shared" si="3"/>
        <v>vis</v>
      </c>
      <c r="E20" s="57">
        <f>VLOOKUP(C20,'Active '!C$21:E$973,3,FALSE)</f>
        <v>12247.903129680008</v>
      </c>
      <c r="F20" s="15" t="s">
        <v>81</v>
      </c>
      <c r="G20" s="13" t="str">
        <f t="shared" si="4"/>
        <v>47954.341</v>
      </c>
      <c r="H20" s="10">
        <f t="shared" si="5"/>
        <v>12246</v>
      </c>
      <c r="I20" s="58" t="s">
        <v>168</v>
      </c>
      <c r="J20" s="59" t="s">
        <v>169</v>
      </c>
      <c r="K20" s="58">
        <v>12246</v>
      </c>
      <c r="L20" s="58" t="s">
        <v>164</v>
      </c>
      <c r="M20" s="59" t="s">
        <v>87</v>
      </c>
      <c r="N20" s="59"/>
      <c r="O20" s="60" t="s">
        <v>93</v>
      </c>
      <c r="P20" s="60" t="s">
        <v>95</v>
      </c>
    </row>
    <row r="21" spans="1:16" ht="12.75" customHeight="1" thickBot="1" x14ac:dyDescent="0.25">
      <c r="A21" s="10" t="str">
        <f t="shared" si="0"/>
        <v> BBS 101 </v>
      </c>
      <c r="B21" s="15" t="str">
        <f t="shared" si="1"/>
        <v>I</v>
      </c>
      <c r="C21" s="10">
        <f t="shared" si="2"/>
        <v>48700.309000000001</v>
      </c>
      <c r="D21" s="13" t="str">
        <f t="shared" si="3"/>
        <v>vis</v>
      </c>
      <c r="E21" s="57">
        <f>VLOOKUP(C21,'Active '!C$21:E$973,3,FALSE)</f>
        <v>12709.9759319489</v>
      </c>
      <c r="F21" s="15" t="s">
        <v>81</v>
      </c>
      <c r="G21" s="13" t="str">
        <f t="shared" si="4"/>
        <v>48700.309</v>
      </c>
      <c r="H21" s="10">
        <f t="shared" si="5"/>
        <v>12708</v>
      </c>
      <c r="I21" s="58" t="s">
        <v>182</v>
      </c>
      <c r="J21" s="59" t="s">
        <v>183</v>
      </c>
      <c r="K21" s="58">
        <v>12708</v>
      </c>
      <c r="L21" s="58" t="s">
        <v>184</v>
      </c>
      <c r="M21" s="59" t="s">
        <v>87</v>
      </c>
      <c r="N21" s="59"/>
      <c r="O21" s="60" t="s">
        <v>93</v>
      </c>
      <c r="P21" s="60" t="s">
        <v>185</v>
      </c>
    </row>
    <row r="22" spans="1:16" ht="12.75" customHeight="1" thickBot="1" x14ac:dyDescent="0.25">
      <c r="A22" s="10" t="str">
        <f t="shared" si="0"/>
        <v> BBS 108 </v>
      </c>
      <c r="B22" s="15" t="str">
        <f t="shared" si="1"/>
        <v>I</v>
      </c>
      <c r="C22" s="10">
        <f t="shared" si="2"/>
        <v>49788.296999999999</v>
      </c>
      <c r="D22" s="13" t="str">
        <f t="shared" si="3"/>
        <v>vis</v>
      </c>
      <c r="E22" s="57">
        <f>VLOOKUP(C22,'Active '!C$21:E$973,3,FALSE)</f>
        <v>13383.90519432333</v>
      </c>
      <c r="F22" s="15" t="s">
        <v>81</v>
      </c>
      <c r="G22" s="13" t="str">
        <f t="shared" si="4"/>
        <v>49788.297</v>
      </c>
      <c r="H22" s="10">
        <f t="shared" si="5"/>
        <v>13382</v>
      </c>
      <c r="I22" s="58" t="s">
        <v>186</v>
      </c>
      <c r="J22" s="59" t="s">
        <v>187</v>
      </c>
      <c r="K22" s="58">
        <v>13382</v>
      </c>
      <c r="L22" s="58" t="s">
        <v>188</v>
      </c>
      <c r="M22" s="59" t="s">
        <v>87</v>
      </c>
      <c r="N22" s="59"/>
      <c r="O22" s="60" t="s">
        <v>93</v>
      </c>
      <c r="P22" s="60" t="s">
        <v>96</v>
      </c>
    </row>
    <row r="23" spans="1:16" ht="12.75" customHeight="1" thickBot="1" x14ac:dyDescent="0.25">
      <c r="A23" s="10" t="str">
        <f t="shared" si="0"/>
        <v> BBS 111 </v>
      </c>
      <c r="B23" s="15" t="str">
        <f t="shared" si="1"/>
        <v>I</v>
      </c>
      <c r="C23" s="10">
        <f t="shared" si="2"/>
        <v>50148.307999999997</v>
      </c>
      <c r="D23" s="13" t="str">
        <f t="shared" si="3"/>
        <v>vis</v>
      </c>
      <c r="E23" s="57">
        <f>VLOOKUP(C23,'Active '!C$21:E$973,3,FALSE)</f>
        <v>13606.905767561895</v>
      </c>
      <c r="F23" s="15" t="s">
        <v>81</v>
      </c>
      <c r="G23" s="13" t="str">
        <f t="shared" si="4"/>
        <v>50148.308</v>
      </c>
      <c r="H23" s="10">
        <f t="shared" si="5"/>
        <v>13605</v>
      </c>
      <c r="I23" s="58" t="s">
        <v>189</v>
      </c>
      <c r="J23" s="59" t="s">
        <v>190</v>
      </c>
      <c r="K23" s="58">
        <v>13605</v>
      </c>
      <c r="L23" s="58" t="s">
        <v>191</v>
      </c>
      <c r="M23" s="59" t="s">
        <v>87</v>
      </c>
      <c r="N23" s="59"/>
      <c r="O23" s="60" t="s">
        <v>93</v>
      </c>
      <c r="P23" s="60" t="s">
        <v>97</v>
      </c>
    </row>
    <row r="24" spans="1:16" ht="12.75" customHeight="1" thickBot="1" x14ac:dyDescent="0.25">
      <c r="A24" s="10" t="str">
        <f t="shared" si="0"/>
        <v>JAAVSO 36(2);171 </v>
      </c>
      <c r="B24" s="15" t="str">
        <f t="shared" si="1"/>
        <v>I</v>
      </c>
      <c r="C24" s="10">
        <f t="shared" si="2"/>
        <v>50437.559000000001</v>
      </c>
      <c r="D24" s="13" t="str">
        <f t="shared" si="3"/>
        <v>vis</v>
      </c>
      <c r="E24" s="57">
        <f>VLOOKUP(C24,'Active '!C$21:E$973,3,FALSE)</f>
        <v>13786.075678508587</v>
      </c>
      <c r="F24" s="15" t="s">
        <v>81</v>
      </c>
      <c r="G24" s="13" t="str">
        <f t="shared" si="4"/>
        <v>50437.559</v>
      </c>
      <c r="H24" s="10">
        <f t="shared" si="5"/>
        <v>13784</v>
      </c>
      <c r="I24" s="58" t="s">
        <v>192</v>
      </c>
      <c r="J24" s="59" t="s">
        <v>193</v>
      </c>
      <c r="K24" s="58">
        <v>13784</v>
      </c>
      <c r="L24" s="58" t="s">
        <v>90</v>
      </c>
      <c r="M24" s="59" t="s">
        <v>100</v>
      </c>
      <c r="N24" s="59" t="s">
        <v>101</v>
      </c>
      <c r="O24" s="60" t="s">
        <v>194</v>
      </c>
      <c r="P24" s="61" t="s">
        <v>195</v>
      </c>
    </row>
    <row r="25" spans="1:16" ht="12.75" customHeight="1" thickBot="1" x14ac:dyDescent="0.25">
      <c r="A25" s="10" t="str">
        <f t="shared" si="0"/>
        <v>IBVS 5745 </v>
      </c>
      <c r="B25" s="15" t="str">
        <f t="shared" si="1"/>
        <v>II</v>
      </c>
      <c r="C25" s="10">
        <f t="shared" si="2"/>
        <v>53344.779699999999</v>
      </c>
      <c r="D25" s="13" t="str">
        <f t="shared" si="3"/>
        <v>vis</v>
      </c>
      <c r="E25" s="57">
        <f>VLOOKUP(C25,'Active '!C$21:E$973,3,FALSE)</f>
        <v>15586.886994360118</v>
      </c>
      <c r="F25" s="15" t="s">
        <v>81</v>
      </c>
      <c r="G25" s="13" t="str">
        <f t="shared" si="4"/>
        <v>53344.7797</v>
      </c>
      <c r="H25" s="10">
        <f t="shared" si="5"/>
        <v>15584.5</v>
      </c>
      <c r="I25" s="58" t="s">
        <v>209</v>
      </c>
      <c r="J25" s="59" t="s">
        <v>210</v>
      </c>
      <c r="K25" s="58">
        <v>15584.5</v>
      </c>
      <c r="L25" s="58" t="s">
        <v>211</v>
      </c>
      <c r="M25" s="59" t="s">
        <v>85</v>
      </c>
      <c r="N25" s="59" t="s">
        <v>86</v>
      </c>
      <c r="O25" s="60" t="s">
        <v>212</v>
      </c>
      <c r="P25" s="61" t="s">
        <v>213</v>
      </c>
    </row>
    <row r="26" spans="1:16" ht="12.75" customHeight="1" thickBot="1" x14ac:dyDescent="0.25">
      <c r="A26" s="10" t="str">
        <f t="shared" si="0"/>
        <v>IBVS 5672 </v>
      </c>
      <c r="B26" s="15" t="str">
        <f t="shared" si="1"/>
        <v>II</v>
      </c>
      <c r="C26" s="10">
        <f t="shared" si="2"/>
        <v>53441.645100000002</v>
      </c>
      <c r="D26" s="13" t="str">
        <f t="shared" si="3"/>
        <v>vis</v>
      </c>
      <c r="E26" s="57">
        <f>VLOOKUP(C26,'Active '!C$21:E$973,3,FALSE)</f>
        <v>15646.888049125066</v>
      </c>
      <c r="F26" s="15" t="s">
        <v>81</v>
      </c>
      <c r="G26" s="13" t="str">
        <f t="shared" si="4"/>
        <v>53441.6451</v>
      </c>
      <c r="H26" s="10">
        <f t="shared" si="5"/>
        <v>15644.5</v>
      </c>
      <c r="I26" s="58" t="s">
        <v>214</v>
      </c>
      <c r="J26" s="59" t="s">
        <v>215</v>
      </c>
      <c r="K26" s="58">
        <v>15644.5</v>
      </c>
      <c r="L26" s="58" t="s">
        <v>216</v>
      </c>
      <c r="M26" s="59" t="s">
        <v>85</v>
      </c>
      <c r="N26" s="59" t="s">
        <v>86</v>
      </c>
      <c r="O26" s="60" t="s">
        <v>217</v>
      </c>
      <c r="P26" s="61" t="s">
        <v>218</v>
      </c>
    </row>
    <row r="27" spans="1:16" ht="12.75" customHeight="1" thickBot="1" x14ac:dyDescent="0.25">
      <c r="A27" s="10" t="str">
        <f t="shared" si="0"/>
        <v>JAAVSO 36(2);171 </v>
      </c>
      <c r="B27" s="15" t="str">
        <f t="shared" si="1"/>
        <v>II</v>
      </c>
      <c r="C27" s="10">
        <f t="shared" si="2"/>
        <v>54447.402900000001</v>
      </c>
      <c r="D27" s="13" t="str">
        <f t="shared" si="3"/>
        <v>vis</v>
      </c>
      <c r="E27" s="57">
        <f>VLOOKUP(C27,'Active '!C$21:E$973,3,FALSE)</f>
        <v>16269.881696372398</v>
      </c>
      <c r="F27" s="15" t="s">
        <v>81</v>
      </c>
      <c r="G27" s="13" t="str">
        <f t="shared" si="4"/>
        <v>54447.4029</v>
      </c>
      <c r="H27" s="10">
        <f t="shared" si="5"/>
        <v>16267.5</v>
      </c>
      <c r="I27" s="58" t="s">
        <v>219</v>
      </c>
      <c r="J27" s="59" t="s">
        <v>220</v>
      </c>
      <c r="K27" s="58">
        <v>16267.5</v>
      </c>
      <c r="L27" s="58" t="s">
        <v>221</v>
      </c>
      <c r="M27" s="59" t="s">
        <v>100</v>
      </c>
      <c r="N27" s="59" t="s">
        <v>101</v>
      </c>
      <c r="O27" s="60" t="s">
        <v>111</v>
      </c>
      <c r="P27" s="61" t="s">
        <v>195</v>
      </c>
    </row>
    <row r="28" spans="1:16" ht="12.75" customHeight="1" thickBot="1" x14ac:dyDescent="0.25">
      <c r="A28" s="10" t="str">
        <f t="shared" si="0"/>
        <v>IBVS 5917 </v>
      </c>
      <c r="B28" s="15" t="str">
        <f t="shared" si="1"/>
        <v>II</v>
      </c>
      <c r="C28" s="10">
        <f t="shared" si="2"/>
        <v>54447.402999999998</v>
      </c>
      <c r="D28" s="13" t="str">
        <f t="shared" si="3"/>
        <v>vis</v>
      </c>
      <c r="E28" s="57">
        <f>VLOOKUP(C28,'Active '!C$21:E$973,3,FALSE)</f>
        <v>16269.881758315107</v>
      </c>
      <c r="F28" s="15" t="s">
        <v>81</v>
      </c>
      <c r="G28" s="13" t="str">
        <f t="shared" si="4"/>
        <v>54447.403</v>
      </c>
      <c r="H28" s="10">
        <f t="shared" si="5"/>
        <v>16267.5</v>
      </c>
      <c r="I28" s="58" t="s">
        <v>222</v>
      </c>
      <c r="J28" s="59" t="s">
        <v>220</v>
      </c>
      <c r="K28" s="58">
        <v>16267.5</v>
      </c>
      <c r="L28" s="58" t="s">
        <v>223</v>
      </c>
      <c r="M28" s="59" t="s">
        <v>100</v>
      </c>
      <c r="N28" s="59" t="s">
        <v>101</v>
      </c>
      <c r="O28" s="60" t="s">
        <v>105</v>
      </c>
      <c r="P28" s="61" t="s">
        <v>106</v>
      </c>
    </row>
    <row r="29" spans="1:16" ht="12.75" customHeight="1" thickBot="1" x14ac:dyDescent="0.25">
      <c r="A29" s="10" t="str">
        <f t="shared" si="0"/>
        <v>BAVM 201 </v>
      </c>
      <c r="B29" s="15" t="str">
        <f t="shared" si="1"/>
        <v>II</v>
      </c>
      <c r="C29" s="10">
        <f t="shared" si="2"/>
        <v>54455.474099999999</v>
      </c>
      <c r="D29" s="13" t="str">
        <f t="shared" si="3"/>
        <v>vis</v>
      </c>
      <c r="E29" s="57">
        <f>VLOOKUP(C29,'Active '!C$21:E$973,3,FALSE)</f>
        <v>16274.881216461292</v>
      </c>
      <c r="F29" s="15" t="s">
        <v>81</v>
      </c>
      <c r="G29" s="13" t="str">
        <f t="shared" si="4"/>
        <v>54455.4741</v>
      </c>
      <c r="H29" s="10">
        <f t="shared" si="5"/>
        <v>16272.5</v>
      </c>
      <c r="I29" s="58" t="s">
        <v>224</v>
      </c>
      <c r="J29" s="59" t="s">
        <v>225</v>
      </c>
      <c r="K29" s="58">
        <v>16272.5</v>
      </c>
      <c r="L29" s="58" t="s">
        <v>226</v>
      </c>
      <c r="M29" s="59" t="s">
        <v>100</v>
      </c>
      <c r="N29" s="59" t="s">
        <v>103</v>
      </c>
      <c r="O29" s="60" t="s">
        <v>99</v>
      </c>
      <c r="P29" s="61" t="s">
        <v>104</v>
      </c>
    </row>
    <row r="30" spans="1:16" ht="12.75" customHeight="1" thickBot="1" x14ac:dyDescent="0.25">
      <c r="A30" s="10" t="str">
        <f t="shared" si="0"/>
        <v>BAVM 201 </v>
      </c>
      <c r="B30" s="15" t="str">
        <f t="shared" si="1"/>
        <v>II</v>
      </c>
      <c r="C30" s="10">
        <f t="shared" si="2"/>
        <v>54476.462099999997</v>
      </c>
      <c r="D30" s="13" t="str">
        <f t="shared" si="3"/>
        <v>vis</v>
      </c>
      <c r="E30" s="57">
        <f>VLOOKUP(C30,'Active '!C$21:E$973,3,FALSE)</f>
        <v>16287.881752642494</v>
      </c>
      <c r="F30" s="15" t="s">
        <v>81</v>
      </c>
      <c r="G30" s="13" t="str">
        <f t="shared" si="4"/>
        <v>54476.4621</v>
      </c>
      <c r="H30" s="10">
        <f t="shared" si="5"/>
        <v>16285.5</v>
      </c>
      <c r="I30" s="58" t="s">
        <v>227</v>
      </c>
      <c r="J30" s="59" t="s">
        <v>228</v>
      </c>
      <c r="K30" s="58" t="s">
        <v>229</v>
      </c>
      <c r="L30" s="58" t="s">
        <v>230</v>
      </c>
      <c r="M30" s="59" t="s">
        <v>100</v>
      </c>
      <c r="N30" s="59" t="s">
        <v>103</v>
      </c>
      <c r="O30" s="60" t="s">
        <v>99</v>
      </c>
      <c r="P30" s="61" t="s">
        <v>104</v>
      </c>
    </row>
    <row r="31" spans="1:16" ht="12.75" customHeight="1" thickBot="1" x14ac:dyDescent="0.25">
      <c r="A31" s="10" t="str">
        <f t="shared" si="0"/>
        <v>IBVS 5871 </v>
      </c>
      <c r="B31" s="15" t="str">
        <f t="shared" si="1"/>
        <v>II</v>
      </c>
      <c r="C31" s="10">
        <f t="shared" si="2"/>
        <v>54831.628299999997</v>
      </c>
      <c r="D31" s="13" t="str">
        <f t="shared" si="3"/>
        <v>vis</v>
      </c>
      <c r="E31" s="57">
        <f>VLOOKUP(C31,'Active '!C$21:E$973,3,FALSE)</f>
        <v>16507.881325419334</v>
      </c>
      <c r="F31" s="15" t="s">
        <v>81</v>
      </c>
      <c r="G31" s="13" t="str">
        <f t="shared" si="4"/>
        <v>54831.6283</v>
      </c>
      <c r="H31" s="10">
        <f t="shared" si="5"/>
        <v>16505.5</v>
      </c>
      <c r="I31" s="58" t="s">
        <v>236</v>
      </c>
      <c r="J31" s="59" t="s">
        <v>237</v>
      </c>
      <c r="K31" s="58" t="s">
        <v>238</v>
      </c>
      <c r="L31" s="58" t="s">
        <v>239</v>
      </c>
      <c r="M31" s="59" t="s">
        <v>100</v>
      </c>
      <c r="N31" s="59" t="s">
        <v>81</v>
      </c>
      <c r="O31" s="60" t="s">
        <v>88</v>
      </c>
      <c r="P31" s="61" t="s">
        <v>240</v>
      </c>
    </row>
    <row r="32" spans="1:16" ht="12.75" customHeight="1" thickBot="1" x14ac:dyDescent="0.25">
      <c r="A32" s="10" t="str">
        <f t="shared" si="0"/>
        <v>IBVS 5960 </v>
      </c>
      <c r="B32" s="15" t="str">
        <f t="shared" si="1"/>
        <v>II</v>
      </c>
      <c r="C32" s="10">
        <f t="shared" si="2"/>
        <v>55559.716699999997</v>
      </c>
      <c r="D32" s="13" t="str">
        <f t="shared" si="3"/>
        <v>vis</v>
      </c>
      <c r="E32" s="57">
        <f>VLOOKUP(C32,'Active '!C$21:E$973,3,FALSE)</f>
        <v>16958.879018735235</v>
      </c>
      <c r="F32" s="15" t="s">
        <v>81</v>
      </c>
      <c r="G32" s="13" t="str">
        <f t="shared" si="4"/>
        <v>55559.7167</v>
      </c>
      <c r="H32" s="10">
        <f t="shared" si="5"/>
        <v>16956.5</v>
      </c>
      <c r="I32" s="58" t="s">
        <v>245</v>
      </c>
      <c r="J32" s="59" t="s">
        <v>246</v>
      </c>
      <c r="K32" s="58" t="s">
        <v>247</v>
      </c>
      <c r="L32" s="58" t="s">
        <v>248</v>
      </c>
      <c r="M32" s="59" t="s">
        <v>100</v>
      </c>
      <c r="N32" s="59" t="s">
        <v>81</v>
      </c>
      <c r="O32" s="60" t="s">
        <v>88</v>
      </c>
      <c r="P32" s="61" t="s">
        <v>110</v>
      </c>
    </row>
    <row r="33" spans="1:16" ht="12.75" customHeight="1" thickBot="1" x14ac:dyDescent="0.25">
      <c r="A33" s="10" t="str">
        <f t="shared" si="0"/>
        <v>IBVS 6029 </v>
      </c>
      <c r="B33" s="15" t="str">
        <f t="shared" si="1"/>
        <v>II</v>
      </c>
      <c r="C33" s="10">
        <f t="shared" si="2"/>
        <v>55940.707799999996</v>
      </c>
      <c r="D33" s="13" t="str">
        <f t="shared" si="3"/>
        <v>vis</v>
      </c>
      <c r="E33" s="57">
        <f>VLOOKUP(C33,'Active '!C$21:E$973,3,FALSE)</f>
        <v>17194.875234680836</v>
      </c>
      <c r="F33" s="15" t="s">
        <v>81</v>
      </c>
      <c r="G33" s="13" t="str">
        <f t="shared" si="4"/>
        <v>55940.7078</v>
      </c>
      <c r="H33" s="10">
        <f t="shared" si="5"/>
        <v>17192.5</v>
      </c>
      <c r="I33" s="58" t="s">
        <v>249</v>
      </c>
      <c r="J33" s="59" t="s">
        <v>250</v>
      </c>
      <c r="K33" s="58" t="s">
        <v>251</v>
      </c>
      <c r="L33" s="58" t="s">
        <v>252</v>
      </c>
      <c r="M33" s="59" t="s">
        <v>100</v>
      </c>
      <c r="N33" s="59" t="s">
        <v>81</v>
      </c>
      <c r="O33" s="60" t="s">
        <v>88</v>
      </c>
      <c r="P33" s="61" t="s">
        <v>253</v>
      </c>
    </row>
    <row r="34" spans="1:16" ht="12.75" customHeight="1" thickBot="1" x14ac:dyDescent="0.25">
      <c r="A34" s="10" t="str">
        <f t="shared" si="0"/>
        <v>BAVM 234 </v>
      </c>
      <c r="B34" s="15" t="str">
        <f t="shared" si="1"/>
        <v>II</v>
      </c>
      <c r="C34" s="10">
        <f t="shared" si="2"/>
        <v>56654.266900000002</v>
      </c>
      <c r="D34" s="13" t="str">
        <f t="shared" si="3"/>
        <v>vis</v>
      </c>
      <c r="E34" s="57">
        <f>VLOOKUP(C34,'Active '!C$21:E$973,3,FALSE)</f>
        <v>17636.873085689822</v>
      </c>
      <c r="F34" s="15" t="s">
        <v>81</v>
      </c>
      <c r="G34" s="13" t="str">
        <f t="shared" si="4"/>
        <v>56654.2669</v>
      </c>
      <c r="H34" s="10">
        <f t="shared" si="5"/>
        <v>17634.5</v>
      </c>
      <c r="I34" s="58" t="s">
        <v>258</v>
      </c>
      <c r="J34" s="59" t="s">
        <v>259</v>
      </c>
      <c r="K34" s="58" t="s">
        <v>260</v>
      </c>
      <c r="L34" s="58" t="s">
        <v>261</v>
      </c>
      <c r="M34" s="59" t="s">
        <v>100</v>
      </c>
      <c r="N34" s="59" t="s">
        <v>103</v>
      </c>
      <c r="O34" s="60" t="s">
        <v>99</v>
      </c>
      <c r="P34" s="61" t="s">
        <v>113</v>
      </c>
    </row>
    <row r="35" spans="1:16" ht="12.75" customHeight="1" thickBot="1" x14ac:dyDescent="0.25">
      <c r="A35" s="10" t="str">
        <f t="shared" si="0"/>
        <v>BAVM 238 </v>
      </c>
      <c r="B35" s="15" t="str">
        <f t="shared" si="1"/>
        <v>I</v>
      </c>
      <c r="C35" s="10">
        <f t="shared" si="2"/>
        <v>56729.3315</v>
      </c>
      <c r="D35" s="13" t="str">
        <f t="shared" si="3"/>
        <v>vis</v>
      </c>
      <c r="E35" s="57">
        <f>VLOOKUP(C35,'Active '!C$21:E$973,3,FALSE)</f>
        <v>17683.370133918692</v>
      </c>
      <c r="F35" s="15" t="s">
        <v>81</v>
      </c>
      <c r="G35" s="13" t="str">
        <f t="shared" si="4"/>
        <v>56729.3315</v>
      </c>
      <c r="H35" s="10">
        <f t="shared" si="5"/>
        <v>17681</v>
      </c>
      <c r="I35" s="58" t="s">
        <v>262</v>
      </c>
      <c r="J35" s="59" t="s">
        <v>263</v>
      </c>
      <c r="K35" s="58" t="s">
        <v>264</v>
      </c>
      <c r="L35" s="58" t="s">
        <v>265</v>
      </c>
      <c r="M35" s="59" t="s">
        <v>100</v>
      </c>
      <c r="N35" s="59" t="s">
        <v>98</v>
      </c>
      <c r="O35" s="60" t="s">
        <v>235</v>
      </c>
      <c r="P35" s="61" t="s">
        <v>266</v>
      </c>
    </row>
    <row r="36" spans="1:16" ht="12.75" customHeight="1" thickBot="1" x14ac:dyDescent="0.25">
      <c r="A36" s="10" t="str">
        <f t="shared" si="0"/>
        <v> PZ 3.18 </v>
      </c>
      <c r="B36" s="15" t="str">
        <f t="shared" si="1"/>
        <v>I</v>
      </c>
      <c r="C36" s="10">
        <f t="shared" si="2"/>
        <v>16932.28</v>
      </c>
      <c r="D36" s="13" t="str">
        <f t="shared" si="3"/>
        <v>vis</v>
      </c>
      <c r="E36" s="57">
        <f>VLOOKUP(C36,'Active '!C$21:E$973,3,FALSE)</f>
        <v>-6968.0024566542179</v>
      </c>
      <c r="F36" s="15" t="s">
        <v>81</v>
      </c>
      <c r="G36" s="13" t="str">
        <f t="shared" si="4"/>
        <v>16932.28</v>
      </c>
      <c r="H36" s="10">
        <f t="shared" si="5"/>
        <v>-6967</v>
      </c>
      <c r="I36" s="58" t="s">
        <v>114</v>
      </c>
      <c r="J36" s="59" t="s">
        <v>115</v>
      </c>
      <c r="K36" s="58">
        <v>-6967</v>
      </c>
      <c r="L36" s="58" t="s">
        <v>116</v>
      </c>
      <c r="M36" s="59" t="s">
        <v>83</v>
      </c>
      <c r="N36" s="59"/>
      <c r="O36" s="60" t="s">
        <v>117</v>
      </c>
      <c r="P36" s="60" t="s">
        <v>118</v>
      </c>
    </row>
    <row r="37" spans="1:16" ht="12.75" customHeight="1" thickBot="1" x14ac:dyDescent="0.25">
      <c r="A37" s="10" t="str">
        <f t="shared" si="0"/>
        <v> PZ 3.18 </v>
      </c>
      <c r="B37" s="15" t="str">
        <f t="shared" si="1"/>
        <v>I</v>
      </c>
      <c r="C37" s="10">
        <f t="shared" si="2"/>
        <v>17124.419999999998</v>
      </c>
      <c r="D37" s="13" t="str">
        <f t="shared" si="3"/>
        <v>vis</v>
      </c>
      <c r="E37" s="57">
        <f>VLOOKUP(C37,'Active '!C$21:E$973,3,FALSE)</f>
        <v>-6848.985731770651</v>
      </c>
      <c r="F37" s="15" t="s">
        <v>81</v>
      </c>
      <c r="G37" s="13" t="str">
        <f t="shared" si="4"/>
        <v>17124.42</v>
      </c>
      <c r="H37" s="10">
        <f t="shared" si="5"/>
        <v>-6848</v>
      </c>
      <c r="I37" s="58" t="s">
        <v>119</v>
      </c>
      <c r="J37" s="59" t="s">
        <v>120</v>
      </c>
      <c r="K37" s="58">
        <v>-6848</v>
      </c>
      <c r="L37" s="58" t="s">
        <v>116</v>
      </c>
      <c r="M37" s="59" t="s">
        <v>83</v>
      </c>
      <c r="N37" s="59"/>
      <c r="O37" s="60" t="s">
        <v>117</v>
      </c>
      <c r="P37" s="60" t="s">
        <v>118</v>
      </c>
    </row>
    <row r="38" spans="1:16" ht="12.75" customHeight="1" thickBot="1" x14ac:dyDescent="0.25">
      <c r="A38" s="10" t="str">
        <f t="shared" si="0"/>
        <v> PZ 3.18 </v>
      </c>
      <c r="B38" s="15" t="str">
        <f t="shared" si="1"/>
        <v>I</v>
      </c>
      <c r="C38" s="10">
        <f t="shared" si="2"/>
        <v>19368.41</v>
      </c>
      <c r="D38" s="13" t="str">
        <f t="shared" si="3"/>
        <v>vis</v>
      </c>
      <c r="E38" s="57">
        <f>VLOOKUP(C38,'Active '!C$21:E$973,3,FALSE)</f>
        <v>-5458.9974915735156</v>
      </c>
      <c r="F38" s="15" t="s">
        <v>81</v>
      </c>
      <c r="G38" s="13" t="str">
        <f t="shared" si="4"/>
        <v>19368.41</v>
      </c>
      <c r="H38" s="10">
        <f t="shared" si="5"/>
        <v>-5458</v>
      </c>
      <c r="I38" s="58" t="s">
        <v>121</v>
      </c>
      <c r="J38" s="59" t="s">
        <v>122</v>
      </c>
      <c r="K38" s="58">
        <v>-5458</v>
      </c>
      <c r="L38" s="58" t="s">
        <v>123</v>
      </c>
      <c r="M38" s="59" t="s">
        <v>83</v>
      </c>
      <c r="N38" s="59"/>
      <c r="O38" s="60" t="s">
        <v>117</v>
      </c>
      <c r="P38" s="60" t="s">
        <v>118</v>
      </c>
    </row>
    <row r="39" spans="1:16" ht="12.75" customHeight="1" thickBot="1" x14ac:dyDescent="0.25">
      <c r="A39" s="10" t="str">
        <f t="shared" si="0"/>
        <v> AN 235.85 </v>
      </c>
      <c r="B39" s="15" t="str">
        <f t="shared" si="1"/>
        <v>I</v>
      </c>
      <c r="C39" s="10">
        <f t="shared" si="2"/>
        <v>24556.41</v>
      </c>
      <c r="D39" s="13" t="str">
        <f t="shared" si="3"/>
        <v>vis</v>
      </c>
      <c r="E39" s="57">
        <f>VLOOKUP(C39,'Active '!C$21:E$973,3,FALSE)</f>
        <v>-2245.4096457530222</v>
      </c>
      <c r="F39" s="15" t="s">
        <v>81</v>
      </c>
      <c r="G39" s="13" t="str">
        <f t="shared" si="4"/>
        <v>24556.41</v>
      </c>
      <c r="H39" s="10">
        <f t="shared" si="5"/>
        <v>-2245</v>
      </c>
      <c r="I39" s="58" t="s">
        <v>124</v>
      </c>
      <c r="J39" s="59" t="s">
        <v>125</v>
      </c>
      <c r="K39" s="58">
        <v>-2245</v>
      </c>
      <c r="L39" s="58" t="s">
        <v>126</v>
      </c>
      <c r="M39" s="59" t="s">
        <v>83</v>
      </c>
      <c r="N39" s="59"/>
      <c r="O39" s="60" t="s">
        <v>127</v>
      </c>
      <c r="P39" s="60" t="s">
        <v>128</v>
      </c>
    </row>
    <row r="40" spans="1:16" ht="12.75" customHeight="1" thickBot="1" x14ac:dyDescent="0.25">
      <c r="A40" s="10" t="str">
        <f t="shared" si="0"/>
        <v> AN 235.85 </v>
      </c>
      <c r="B40" s="15" t="str">
        <f t="shared" si="1"/>
        <v>I</v>
      </c>
      <c r="C40" s="10">
        <f t="shared" si="2"/>
        <v>24590.32</v>
      </c>
      <c r="D40" s="13" t="str">
        <f t="shared" si="3"/>
        <v>vis</v>
      </c>
      <c r="E40" s="57">
        <f>VLOOKUP(C40,'Active '!C$21:E$973,3,FALSE)</f>
        <v>-2224.4048724585405</v>
      </c>
      <c r="F40" s="15" t="s">
        <v>81</v>
      </c>
      <c r="G40" s="13" t="str">
        <f t="shared" si="4"/>
        <v>24590.32</v>
      </c>
      <c r="H40" s="10">
        <f t="shared" si="5"/>
        <v>-2224</v>
      </c>
      <c r="I40" s="58" t="s">
        <v>129</v>
      </c>
      <c r="J40" s="59" t="s">
        <v>130</v>
      </c>
      <c r="K40" s="58">
        <v>-2224</v>
      </c>
      <c r="L40" s="58" t="s">
        <v>126</v>
      </c>
      <c r="M40" s="59" t="s">
        <v>83</v>
      </c>
      <c r="N40" s="59"/>
      <c r="O40" s="60" t="s">
        <v>127</v>
      </c>
      <c r="P40" s="60" t="s">
        <v>128</v>
      </c>
    </row>
    <row r="41" spans="1:16" ht="12.75" customHeight="1" thickBot="1" x14ac:dyDescent="0.25">
      <c r="A41" s="10" t="str">
        <f t="shared" si="0"/>
        <v> PIAU 1991.322 </v>
      </c>
      <c r="B41" s="15" t="str">
        <f t="shared" si="1"/>
        <v>I</v>
      </c>
      <c r="C41" s="10">
        <f t="shared" si="2"/>
        <v>47560.436000000002</v>
      </c>
      <c r="D41" s="13" t="str">
        <f t="shared" si="3"/>
        <v>vis</v>
      </c>
      <c r="E41" s="57">
        <f>VLOOKUP(C41,'Active '!C$21:E$973,3,FALSE)</f>
        <v>12003.907693980716</v>
      </c>
      <c r="F41" s="15" t="s">
        <v>81</v>
      </c>
      <c r="G41" s="13" t="str">
        <f t="shared" si="4"/>
        <v>47560.436</v>
      </c>
      <c r="H41" s="10">
        <f t="shared" si="5"/>
        <v>12002</v>
      </c>
      <c r="I41" s="58" t="s">
        <v>151</v>
      </c>
      <c r="J41" s="59" t="s">
        <v>152</v>
      </c>
      <c r="K41" s="58">
        <v>12002</v>
      </c>
      <c r="L41" s="58" t="s">
        <v>153</v>
      </c>
      <c r="M41" s="59" t="s">
        <v>85</v>
      </c>
      <c r="N41" s="59" t="s">
        <v>86</v>
      </c>
      <c r="O41" s="60" t="s">
        <v>154</v>
      </c>
      <c r="P41" s="60" t="s">
        <v>155</v>
      </c>
    </row>
    <row r="42" spans="1:16" ht="12.75" customHeight="1" thickBot="1" x14ac:dyDescent="0.25">
      <c r="A42" s="10" t="str">
        <f t="shared" si="0"/>
        <v> PIAU 1991.322 </v>
      </c>
      <c r="B42" s="15" t="str">
        <f t="shared" si="1"/>
        <v>I</v>
      </c>
      <c r="C42" s="10">
        <f t="shared" si="2"/>
        <v>47933.366000000002</v>
      </c>
      <c r="D42" s="13" t="str">
        <f t="shared" si="3"/>
        <v>vis</v>
      </c>
      <c r="E42" s="57">
        <f>VLOOKUP(C42,'Active '!C$21:E$973,3,FALSE)</f>
        <v>12234.910646051232</v>
      </c>
      <c r="F42" s="15" t="s">
        <v>81</v>
      </c>
      <c r="G42" s="13" t="str">
        <f t="shared" si="4"/>
        <v>47933.366</v>
      </c>
      <c r="H42" s="10">
        <f t="shared" si="5"/>
        <v>12233</v>
      </c>
      <c r="I42" s="58" t="s">
        <v>159</v>
      </c>
      <c r="J42" s="59" t="s">
        <v>160</v>
      </c>
      <c r="K42" s="58">
        <v>12233</v>
      </c>
      <c r="L42" s="58" t="s">
        <v>161</v>
      </c>
      <c r="M42" s="59" t="s">
        <v>85</v>
      </c>
      <c r="N42" s="59" t="s">
        <v>86</v>
      </c>
      <c r="O42" s="60" t="s">
        <v>154</v>
      </c>
      <c r="P42" s="60" t="s">
        <v>155</v>
      </c>
    </row>
    <row r="43" spans="1:16" ht="12.75" customHeight="1" thickBot="1" x14ac:dyDescent="0.25">
      <c r="A43" s="10" t="str">
        <f t="shared" si="0"/>
        <v> PIAU 1991.322 </v>
      </c>
      <c r="B43" s="15" t="str">
        <f t="shared" si="1"/>
        <v>I</v>
      </c>
      <c r="C43" s="10">
        <f t="shared" si="2"/>
        <v>47967.269</v>
      </c>
      <c r="D43" s="13" t="str">
        <f t="shared" si="3"/>
        <v>vis</v>
      </c>
      <c r="E43" s="57">
        <f>VLOOKUP(C43,'Active '!C$21:E$973,3,FALSE)</f>
        <v>12255.911083355944</v>
      </c>
      <c r="F43" s="15" t="s">
        <v>81</v>
      </c>
      <c r="G43" s="13" t="str">
        <f t="shared" si="4"/>
        <v>47967.269</v>
      </c>
      <c r="H43" s="10">
        <f t="shared" si="5"/>
        <v>12254</v>
      </c>
      <c r="I43" s="58" t="s">
        <v>170</v>
      </c>
      <c r="J43" s="59" t="s">
        <v>171</v>
      </c>
      <c r="K43" s="58">
        <v>12254</v>
      </c>
      <c r="L43" s="58" t="s">
        <v>172</v>
      </c>
      <c r="M43" s="59" t="s">
        <v>85</v>
      </c>
      <c r="N43" s="59" t="s">
        <v>86</v>
      </c>
      <c r="O43" s="60" t="s">
        <v>154</v>
      </c>
      <c r="P43" s="60" t="s">
        <v>155</v>
      </c>
    </row>
    <row r="44" spans="1:16" ht="12.75" customHeight="1" thickBot="1" x14ac:dyDescent="0.25">
      <c r="A44" s="10" t="str">
        <f t="shared" si="0"/>
        <v> PIAU 1991.322 </v>
      </c>
      <c r="B44" s="15" t="str">
        <f t="shared" si="1"/>
        <v>I</v>
      </c>
      <c r="C44" s="10">
        <f t="shared" si="2"/>
        <v>48180.366000000002</v>
      </c>
      <c r="D44" s="13" t="str">
        <f t="shared" si="3"/>
        <v>vis</v>
      </c>
      <c r="E44" s="57">
        <f>VLOOKUP(C44,'Active '!C$21:E$973,3,FALSE)</f>
        <v>12387.909142180311</v>
      </c>
      <c r="F44" s="15" t="s">
        <v>81</v>
      </c>
      <c r="G44" s="13" t="str">
        <f t="shared" si="4"/>
        <v>48180.366</v>
      </c>
      <c r="H44" s="10">
        <f t="shared" si="5"/>
        <v>12386</v>
      </c>
      <c r="I44" s="58" t="s">
        <v>173</v>
      </c>
      <c r="J44" s="59" t="s">
        <v>174</v>
      </c>
      <c r="K44" s="58">
        <v>12386</v>
      </c>
      <c r="L44" s="58" t="s">
        <v>175</v>
      </c>
      <c r="M44" s="59" t="s">
        <v>85</v>
      </c>
      <c r="N44" s="59" t="s">
        <v>86</v>
      </c>
      <c r="O44" s="60" t="s">
        <v>154</v>
      </c>
      <c r="P44" s="60" t="s">
        <v>155</v>
      </c>
    </row>
    <row r="45" spans="1:16" ht="12.75" customHeight="1" thickBot="1" x14ac:dyDescent="0.25">
      <c r="A45" s="10" t="str">
        <f t="shared" si="0"/>
        <v> PIAU 1991.322 </v>
      </c>
      <c r="B45" s="15" t="str">
        <f t="shared" si="1"/>
        <v>I</v>
      </c>
      <c r="C45" s="10">
        <f t="shared" si="2"/>
        <v>48188.4375</v>
      </c>
      <c r="D45" s="13" t="str">
        <f t="shared" si="3"/>
        <v>vis</v>
      </c>
      <c r="E45" s="57">
        <f>VLOOKUP(C45,'Active '!C$21:E$973,3,FALSE)</f>
        <v>12392.908848097339</v>
      </c>
      <c r="F45" s="15" t="s">
        <v>81</v>
      </c>
      <c r="G45" s="13" t="str">
        <f t="shared" si="4"/>
        <v>48188.4375</v>
      </c>
      <c r="H45" s="10">
        <f t="shared" si="5"/>
        <v>12391</v>
      </c>
      <c r="I45" s="58" t="s">
        <v>176</v>
      </c>
      <c r="J45" s="59" t="s">
        <v>177</v>
      </c>
      <c r="K45" s="58">
        <v>12391</v>
      </c>
      <c r="L45" s="58" t="s">
        <v>178</v>
      </c>
      <c r="M45" s="59" t="s">
        <v>85</v>
      </c>
      <c r="N45" s="59" t="s">
        <v>86</v>
      </c>
      <c r="O45" s="60" t="s">
        <v>154</v>
      </c>
      <c r="P45" s="60" t="s">
        <v>155</v>
      </c>
    </row>
    <row r="46" spans="1:16" ht="12.75" customHeight="1" thickBot="1" x14ac:dyDescent="0.25">
      <c r="A46" s="10" t="str">
        <f t="shared" si="0"/>
        <v> PIAU 1991.322 </v>
      </c>
      <c r="B46" s="15" t="str">
        <f t="shared" si="1"/>
        <v>I</v>
      </c>
      <c r="C46" s="10">
        <f t="shared" si="2"/>
        <v>48206.197</v>
      </c>
      <c r="D46" s="13" t="str">
        <f t="shared" si="3"/>
        <v>vis</v>
      </c>
      <c r="E46" s="57">
        <f>VLOOKUP(C46,'Active '!C$21:E$973,3,FALSE)</f>
        <v>12403.90956385444</v>
      </c>
      <c r="F46" s="15" t="s">
        <v>81</v>
      </c>
      <c r="G46" s="13" t="str">
        <f t="shared" si="4"/>
        <v>48206.197</v>
      </c>
      <c r="H46" s="10">
        <f t="shared" si="5"/>
        <v>12402</v>
      </c>
      <c r="I46" s="58" t="s">
        <v>179</v>
      </c>
      <c r="J46" s="59" t="s">
        <v>180</v>
      </c>
      <c r="K46" s="58">
        <v>12402</v>
      </c>
      <c r="L46" s="58" t="s">
        <v>181</v>
      </c>
      <c r="M46" s="59" t="s">
        <v>85</v>
      </c>
      <c r="N46" s="59" t="s">
        <v>86</v>
      </c>
      <c r="O46" s="60" t="s">
        <v>154</v>
      </c>
      <c r="P46" s="60" t="s">
        <v>155</v>
      </c>
    </row>
    <row r="47" spans="1:16" ht="12.75" customHeight="1" thickBot="1" x14ac:dyDescent="0.25">
      <c r="A47" s="10" t="str">
        <f t="shared" si="0"/>
        <v>VSB 42 </v>
      </c>
      <c r="B47" s="15" t="str">
        <f t="shared" si="1"/>
        <v>II</v>
      </c>
      <c r="C47" s="10">
        <f t="shared" si="2"/>
        <v>52657.053999999996</v>
      </c>
      <c r="D47" s="13" t="str">
        <f t="shared" si="3"/>
        <v>vis</v>
      </c>
      <c r="E47" s="57">
        <f>VLOOKUP(C47,'Active '!C$21:E$973,3,FALSE)</f>
        <v>15160.891051650327</v>
      </c>
      <c r="F47" s="15" t="s">
        <v>81</v>
      </c>
      <c r="G47" s="13" t="str">
        <f t="shared" si="4"/>
        <v>52657.0540</v>
      </c>
      <c r="H47" s="10">
        <f t="shared" si="5"/>
        <v>15158.5</v>
      </c>
      <c r="I47" s="58" t="s">
        <v>196</v>
      </c>
      <c r="J47" s="59" t="s">
        <v>197</v>
      </c>
      <c r="K47" s="58">
        <v>15158.5</v>
      </c>
      <c r="L47" s="58" t="s">
        <v>198</v>
      </c>
      <c r="M47" s="59" t="s">
        <v>85</v>
      </c>
      <c r="N47" s="59" t="s">
        <v>86</v>
      </c>
      <c r="O47" s="60" t="s">
        <v>102</v>
      </c>
      <c r="P47" s="61" t="s">
        <v>199</v>
      </c>
    </row>
    <row r="48" spans="1:16" ht="12.75" customHeight="1" thickBot="1" x14ac:dyDescent="0.25">
      <c r="A48" s="10" t="str">
        <f t="shared" si="0"/>
        <v>BAVM 157 </v>
      </c>
      <c r="B48" s="15" t="str">
        <f t="shared" si="1"/>
        <v>II</v>
      </c>
      <c r="C48" s="10">
        <f t="shared" si="2"/>
        <v>52689.351999999999</v>
      </c>
      <c r="D48" s="13" t="str">
        <f t="shared" si="3"/>
        <v>vis</v>
      </c>
      <c r="E48" s="57">
        <f>VLOOKUP(C48,'Active '!C$21:E$973,3,FALSE)</f>
        <v>15180.897308443757</v>
      </c>
      <c r="F48" s="15" t="s">
        <v>81</v>
      </c>
      <c r="G48" s="13" t="str">
        <f t="shared" si="4"/>
        <v>52689.352</v>
      </c>
      <c r="H48" s="10">
        <f t="shared" si="5"/>
        <v>15178.5</v>
      </c>
      <c r="I48" s="58" t="s">
        <v>200</v>
      </c>
      <c r="J48" s="59" t="s">
        <v>201</v>
      </c>
      <c r="K48" s="58">
        <v>15178.5</v>
      </c>
      <c r="L48" s="58" t="s">
        <v>202</v>
      </c>
      <c r="M48" s="59" t="s">
        <v>87</v>
      </c>
      <c r="N48" s="59"/>
      <c r="O48" s="60" t="s">
        <v>203</v>
      </c>
      <c r="P48" s="61" t="s">
        <v>204</v>
      </c>
    </row>
    <row r="49" spans="1:16" ht="12.75" customHeight="1" thickBot="1" x14ac:dyDescent="0.25">
      <c r="A49" s="10" t="str">
        <f t="shared" si="0"/>
        <v>BAVM 171 </v>
      </c>
      <c r="B49" s="15" t="str">
        <f t="shared" si="1"/>
        <v>II</v>
      </c>
      <c r="C49" s="10">
        <f t="shared" si="2"/>
        <v>53028.353999999999</v>
      </c>
      <c r="D49" s="13" t="str">
        <f t="shared" si="3"/>
        <v>vis</v>
      </c>
      <c r="E49" s="57">
        <f>VLOOKUP(C49,'Active '!C$21:E$973,3,FALSE)</f>
        <v>15390.884337531814</v>
      </c>
      <c r="F49" s="15" t="s">
        <v>81</v>
      </c>
      <c r="G49" s="13" t="str">
        <f t="shared" si="4"/>
        <v>53028.354</v>
      </c>
      <c r="H49" s="10">
        <f t="shared" si="5"/>
        <v>15388.5</v>
      </c>
      <c r="I49" s="58" t="s">
        <v>205</v>
      </c>
      <c r="J49" s="59" t="s">
        <v>206</v>
      </c>
      <c r="K49" s="58">
        <v>15388.5</v>
      </c>
      <c r="L49" s="58" t="s">
        <v>207</v>
      </c>
      <c r="M49" s="59" t="s">
        <v>87</v>
      </c>
      <c r="N49" s="59"/>
      <c r="O49" s="60" t="s">
        <v>203</v>
      </c>
      <c r="P49" s="61" t="s">
        <v>208</v>
      </c>
    </row>
    <row r="50" spans="1:16" ht="12.75" customHeight="1" thickBot="1" x14ac:dyDescent="0.25">
      <c r="A50" s="10" t="str">
        <f t="shared" si="0"/>
        <v>BAVM 203 </v>
      </c>
      <c r="B50" s="15" t="str">
        <f t="shared" si="1"/>
        <v>II</v>
      </c>
      <c r="C50" s="10">
        <f t="shared" si="2"/>
        <v>54820.327700000002</v>
      </c>
      <c r="D50" s="13" t="str">
        <f t="shared" si="3"/>
        <v>vis</v>
      </c>
      <c r="E50" s="57">
        <f>VLOOKUP(C50,'Active '!C$21:E$973,3,FALSE)</f>
        <v>16500.881427421944</v>
      </c>
      <c r="F50" s="15" t="s">
        <v>81</v>
      </c>
      <c r="G50" s="13" t="str">
        <f t="shared" si="4"/>
        <v>54820.3277</v>
      </c>
      <c r="H50" s="10">
        <f t="shared" si="5"/>
        <v>16498.5</v>
      </c>
      <c r="I50" s="58" t="s">
        <v>231</v>
      </c>
      <c r="J50" s="59" t="s">
        <v>232</v>
      </c>
      <c r="K50" s="58" t="s">
        <v>233</v>
      </c>
      <c r="L50" s="58" t="s">
        <v>234</v>
      </c>
      <c r="M50" s="59" t="s">
        <v>100</v>
      </c>
      <c r="N50" s="59" t="s">
        <v>98</v>
      </c>
      <c r="O50" s="60" t="s">
        <v>235</v>
      </c>
      <c r="P50" s="61" t="s">
        <v>107</v>
      </c>
    </row>
    <row r="51" spans="1:16" ht="12.75" customHeight="1" thickBot="1" x14ac:dyDescent="0.25">
      <c r="A51" s="10" t="str">
        <f t="shared" si="0"/>
        <v>BAVM 203 </v>
      </c>
      <c r="B51" s="15" t="str">
        <f t="shared" si="1"/>
        <v>II</v>
      </c>
      <c r="C51" s="10">
        <f t="shared" si="2"/>
        <v>54862.298600000002</v>
      </c>
      <c r="D51" s="13" t="str">
        <f t="shared" si="3"/>
        <v>vis</v>
      </c>
      <c r="E51" s="57">
        <f>VLOOKUP(C51,'Active '!C$21:E$973,3,FALSE)</f>
        <v>16526.879340706088</v>
      </c>
      <c r="F51" s="15" t="s">
        <v>81</v>
      </c>
      <c r="G51" s="13" t="str">
        <f t="shared" si="4"/>
        <v>54862.2986</v>
      </c>
      <c r="H51" s="10">
        <f t="shared" si="5"/>
        <v>16524.5</v>
      </c>
      <c r="I51" s="58" t="s">
        <v>241</v>
      </c>
      <c r="J51" s="59" t="s">
        <v>242</v>
      </c>
      <c r="K51" s="58" t="s">
        <v>243</v>
      </c>
      <c r="L51" s="58" t="s">
        <v>244</v>
      </c>
      <c r="M51" s="59" t="s">
        <v>100</v>
      </c>
      <c r="N51" s="59" t="s">
        <v>98</v>
      </c>
      <c r="O51" s="60" t="s">
        <v>235</v>
      </c>
      <c r="P51" s="61" t="s">
        <v>107</v>
      </c>
    </row>
    <row r="52" spans="1:16" ht="12.75" customHeight="1" thickBot="1" x14ac:dyDescent="0.25">
      <c r="A52" s="10" t="str">
        <f t="shared" si="0"/>
        <v>VSB 56 </v>
      </c>
      <c r="B52" s="15" t="str">
        <f t="shared" si="1"/>
        <v>II</v>
      </c>
      <c r="C52" s="10">
        <f t="shared" si="2"/>
        <v>56596.147900000004</v>
      </c>
      <c r="D52" s="13" t="str">
        <f t="shared" si="3"/>
        <v>vis</v>
      </c>
      <c r="E52" s="57">
        <f>VLOOKUP(C52,'Active '!C$21:E$973,3,FALSE)</f>
        <v>17600.872601493364</v>
      </c>
      <c r="F52" s="15" t="s">
        <v>81</v>
      </c>
      <c r="G52" s="13" t="str">
        <f t="shared" si="4"/>
        <v>56596.1479</v>
      </c>
      <c r="H52" s="10">
        <f t="shared" si="5"/>
        <v>17598.5</v>
      </c>
      <c r="I52" s="58" t="s">
        <v>254</v>
      </c>
      <c r="J52" s="59" t="s">
        <v>255</v>
      </c>
      <c r="K52" s="58" t="s">
        <v>256</v>
      </c>
      <c r="L52" s="58" t="s">
        <v>257</v>
      </c>
      <c r="M52" s="59" t="s">
        <v>100</v>
      </c>
      <c r="N52" s="59" t="s">
        <v>108</v>
      </c>
      <c r="O52" s="60" t="s">
        <v>109</v>
      </c>
      <c r="P52" s="61" t="s">
        <v>112</v>
      </c>
    </row>
    <row r="53" spans="1:16" x14ac:dyDescent="0.2">
      <c r="B53" s="15"/>
      <c r="F53" s="15"/>
    </row>
    <row r="54" spans="1:16" x14ac:dyDescent="0.2">
      <c r="B54" s="15"/>
      <c r="F54" s="15"/>
    </row>
    <row r="55" spans="1:16" x14ac:dyDescent="0.2">
      <c r="B55" s="15"/>
      <c r="F55" s="15"/>
    </row>
    <row r="56" spans="1:16" x14ac:dyDescent="0.2">
      <c r="B56" s="15"/>
      <c r="F56" s="15"/>
    </row>
    <row r="57" spans="1:16" x14ac:dyDescent="0.2">
      <c r="B57" s="15"/>
      <c r="F57" s="15"/>
    </row>
    <row r="58" spans="1:16" x14ac:dyDescent="0.2">
      <c r="B58" s="15"/>
      <c r="F58" s="15"/>
    </row>
    <row r="59" spans="1:16" x14ac:dyDescent="0.2">
      <c r="B59" s="15"/>
      <c r="F59" s="15"/>
    </row>
    <row r="60" spans="1:16" x14ac:dyDescent="0.2">
      <c r="B60" s="15"/>
      <c r="F60" s="15"/>
    </row>
    <row r="61" spans="1:16" x14ac:dyDescent="0.2">
      <c r="B61" s="15"/>
      <c r="F61" s="15"/>
    </row>
    <row r="62" spans="1:16" x14ac:dyDescent="0.2">
      <c r="B62" s="15"/>
      <c r="F62" s="15"/>
    </row>
    <row r="63" spans="1:16" x14ac:dyDescent="0.2">
      <c r="B63" s="15"/>
      <c r="F63" s="15"/>
    </row>
    <row r="64" spans="1:16" x14ac:dyDescent="0.2">
      <c r="B64" s="15"/>
      <c r="F64" s="15"/>
    </row>
    <row r="65" spans="2:6" x14ac:dyDescent="0.2">
      <c r="B65" s="15"/>
      <c r="F65" s="15"/>
    </row>
    <row r="66" spans="2:6" x14ac:dyDescent="0.2">
      <c r="B66" s="15"/>
      <c r="F66" s="15"/>
    </row>
    <row r="67" spans="2:6" x14ac:dyDescent="0.2">
      <c r="B67" s="15"/>
      <c r="F67" s="15"/>
    </row>
    <row r="68" spans="2:6" x14ac:dyDescent="0.2">
      <c r="B68" s="15"/>
      <c r="F68" s="15"/>
    </row>
    <row r="69" spans="2:6" x14ac:dyDescent="0.2">
      <c r="B69" s="15"/>
      <c r="F69" s="15"/>
    </row>
    <row r="70" spans="2:6" x14ac:dyDescent="0.2">
      <c r="B70" s="15"/>
      <c r="F70" s="15"/>
    </row>
    <row r="71" spans="2:6" x14ac:dyDescent="0.2">
      <c r="B71" s="15"/>
      <c r="F71" s="15"/>
    </row>
    <row r="72" spans="2:6" x14ac:dyDescent="0.2">
      <c r="B72" s="15"/>
      <c r="F72" s="15"/>
    </row>
    <row r="73" spans="2:6" x14ac:dyDescent="0.2">
      <c r="B73" s="15"/>
      <c r="F73" s="15"/>
    </row>
    <row r="74" spans="2:6" x14ac:dyDescent="0.2">
      <c r="B74" s="15"/>
      <c r="F74" s="15"/>
    </row>
    <row r="75" spans="2:6" x14ac:dyDescent="0.2">
      <c r="B75" s="15"/>
      <c r="F75" s="15"/>
    </row>
    <row r="76" spans="2:6" x14ac:dyDescent="0.2">
      <c r="B76" s="15"/>
      <c r="F76" s="15"/>
    </row>
    <row r="77" spans="2:6" x14ac:dyDescent="0.2">
      <c r="B77" s="15"/>
      <c r="F77" s="15"/>
    </row>
    <row r="78" spans="2:6" x14ac:dyDescent="0.2">
      <c r="B78" s="15"/>
      <c r="F78" s="15"/>
    </row>
    <row r="79" spans="2:6" x14ac:dyDescent="0.2">
      <c r="B79" s="15"/>
      <c r="F79" s="15"/>
    </row>
    <row r="80" spans="2: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</sheetData>
  <phoneticPr fontId="7" type="noConversion"/>
  <hyperlinks>
    <hyperlink ref="P24" r:id="rId1" display="http://www.aavso.org/sites/default/files/jaavso/v36n2/171.pdf"/>
    <hyperlink ref="P47" r:id="rId2" display="http://vsolj.cetus-net.org/no42.pdf"/>
    <hyperlink ref="P48" r:id="rId3" display="http://www.bav-astro.de/sfs/BAVM_link.php?BAVMnr=157"/>
    <hyperlink ref="P49" r:id="rId4" display="http://www.bav-astro.de/sfs/BAVM_link.php?BAVMnr=171"/>
    <hyperlink ref="P25" r:id="rId5" display="http://www.konkoly.hu/cgi-bin/IBVS?5745"/>
    <hyperlink ref="P26" r:id="rId6" display="http://www.konkoly.hu/cgi-bin/IBVS?5672"/>
    <hyperlink ref="P27" r:id="rId7" display="http://www.aavso.org/sites/default/files/jaavso/v36n2/171.pdf"/>
    <hyperlink ref="P28" r:id="rId8" display="http://www.konkoly.hu/cgi-bin/IBVS?5917"/>
    <hyperlink ref="P29" r:id="rId9" display="http://www.bav-astro.de/sfs/BAVM_link.php?BAVMnr=201"/>
    <hyperlink ref="P30" r:id="rId10" display="http://www.bav-astro.de/sfs/BAVM_link.php?BAVMnr=201"/>
    <hyperlink ref="P50" r:id="rId11" display="http://www.bav-astro.de/sfs/BAVM_link.php?BAVMnr=203"/>
    <hyperlink ref="P31" r:id="rId12" display="http://www.konkoly.hu/cgi-bin/IBVS?5871"/>
    <hyperlink ref="P51" r:id="rId13" display="http://www.bav-astro.de/sfs/BAVM_link.php?BAVMnr=203"/>
    <hyperlink ref="P32" r:id="rId14" display="http://www.konkoly.hu/cgi-bin/IBVS?5960"/>
    <hyperlink ref="P33" r:id="rId15" display="http://www.konkoly.hu/cgi-bin/IBVS?6029"/>
    <hyperlink ref="P52" r:id="rId16" display="http://vsolj.cetus-net.org/vsoljno56.pdf"/>
    <hyperlink ref="P34" r:id="rId17" display="http://www.bav-astro.de/sfs/BAVM_link.php?BAVMnr=234"/>
    <hyperlink ref="P35" r:id="rId18" display="http://www.bav-astro.de/sfs/BAVM_link.php?BAVMnr=238"/>
  </hyperlinks>
  <pageMargins left="0.75" right="0.75" top="1" bottom="1" header="0.5" footer="0.5"/>
  <pageSetup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2024-03-07T04:17:40Z</dcterms:modified>
</cp:coreProperties>
</file>