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82B930BD-C5F1-409D-946A-703CC17E987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46" i="1" l="1"/>
  <c r="D9" i="1"/>
  <c r="C9" i="1"/>
  <c r="Q37" i="1"/>
  <c r="Q35" i="1"/>
  <c r="Q34" i="1"/>
  <c r="Q32" i="1"/>
  <c r="Q31" i="1"/>
  <c r="Q30" i="1"/>
  <c r="Q29" i="1"/>
  <c r="Q28" i="1"/>
  <c r="Q27" i="1"/>
  <c r="Q26" i="1"/>
  <c r="Q25" i="1"/>
  <c r="Q24" i="1"/>
  <c r="Q23" i="1"/>
  <c r="Q22" i="1"/>
  <c r="Q21" i="1"/>
  <c r="G20" i="2"/>
  <c r="C20" i="2"/>
  <c r="G19" i="2"/>
  <c r="C19" i="2"/>
  <c r="G36" i="2"/>
  <c r="C36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35" i="2"/>
  <c r="C35" i="2"/>
  <c r="G11" i="2"/>
  <c r="C11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E26" i="2"/>
  <c r="G25" i="2"/>
  <c r="C25" i="2"/>
  <c r="G24" i="2"/>
  <c r="C24" i="2"/>
  <c r="G23" i="2"/>
  <c r="C23" i="2"/>
  <c r="G22" i="2"/>
  <c r="C22" i="2"/>
  <c r="G21" i="2"/>
  <c r="C21" i="2"/>
  <c r="H20" i="2"/>
  <c r="D20" i="2"/>
  <c r="B20" i="2"/>
  <c r="A20" i="2"/>
  <c r="H19" i="2"/>
  <c r="D19" i="2"/>
  <c r="B19" i="2"/>
  <c r="A19" i="2"/>
  <c r="H36" i="2"/>
  <c r="D36" i="2"/>
  <c r="B36" i="2"/>
  <c r="A36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35" i="2"/>
  <c r="D35" i="2"/>
  <c r="B35" i="2"/>
  <c r="A35" i="2"/>
  <c r="H11" i="2"/>
  <c r="D11" i="2"/>
  <c r="B11" i="2"/>
  <c r="A11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F17" i="1"/>
  <c r="C17" i="1"/>
  <c r="Q48" i="1"/>
  <c r="Q47" i="1"/>
  <c r="Q36" i="1"/>
  <c r="Q38" i="1"/>
  <c r="Q39" i="1"/>
  <c r="Q40" i="1"/>
  <c r="Q41" i="1"/>
  <c r="Q42" i="1"/>
  <c r="Q43" i="1"/>
  <c r="Q44" i="1"/>
  <c r="Q45" i="1"/>
  <c r="C7" i="1"/>
  <c r="E26" i="1"/>
  <c r="F26" i="1"/>
  <c r="C8" i="1"/>
  <c r="Q33" i="1"/>
  <c r="E20" i="2"/>
  <c r="E28" i="2"/>
  <c r="E16" i="2"/>
  <c r="E29" i="2"/>
  <c r="E24" i="2"/>
  <c r="E30" i="2"/>
  <c r="E31" i="2"/>
  <c r="E12" i="2"/>
  <c r="E18" i="2"/>
  <c r="E13" i="2"/>
  <c r="E36" i="2"/>
  <c r="E19" i="2"/>
  <c r="E21" i="2"/>
  <c r="E48" i="1"/>
  <c r="F48" i="1"/>
  <c r="E39" i="1"/>
  <c r="F39" i="1"/>
  <c r="G34" i="1"/>
  <c r="I34" i="1"/>
  <c r="E31" i="1"/>
  <c r="F31" i="1"/>
  <c r="E23" i="1"/>
  <c r="F23" i="1"/>
  <c r="G47" i="1"/>
  <c r="K47" i="1"/>
  <c r="E44" i="1"/>
  <c r="F44" i="1"/>
  <c r="E46" i="1"/>
  <c r="F46" i="1"/>
  <c r="G30" i="1"/>
  <c r="I30" i="1"/>
  <c r="E28" i="1"/>
  <c r="F28" i="1"/>
  <c r="G43" i="1"/>
  <c r="I43" i="1"/>
  <c r="E41" i="1"/>
  <c r="F41" i="1"/>
  <c r="G41" i="1"/>
  <c r="I41" i="1"/>
  <c r="E34" i="1"/>
  <c r="F34" i="1"/>
  <c r="G27" i="1"/>
  <c r="I27" i="1"/>
  <c r="E25" i="1"/>
  <c r="F25" i="1"/>
  <c r="G25" i="1"/>
  <c r="I25" i="1"/>
  <c r="E47" i="1"/>
  <c r="F47" i="1"/>
  <c r="G40" i="1"/>
  <c r="I40" i="1"/>
  <c r="E36" i="1"/>
  <c r="F36" i="1"/>
  <c r="G36" i="1"/>
  <c r="I36" i="1"/>
  <c r="G32" i="1"/>
  <c r="I32" i="1"/>
  <c r="E30" i="1"/>
  <c r="F30" i="1"/>
  <c r="G24" i="1"/>
  <c r="I24" i="1"/>
  <c r="E22" i="1"/>
  <c r="F22" i="1"/>
  <c r="G22" i="1"/>
  <c r="I22" i="1"/>
  <c r="G45" i="1"/>
  <c r="K45" i="1"/>
  <c r="E43" i="1"/>
  <c r="F43" i="1"/>
  <c r="G33" i="1"/>
  <c r="H33" i="1"/>
  <c r="E37" i="1"/>
  <c r="F37" i="1"/>
  <c r="G37" i="1"/>
  <c r="G29" i="1"/>
  <c r="I29" i="1"/>
  <c r="E27" i="1"/>
  <c r="F27" i="1"/>
  <c r="G21" i="1"/>
  <c r="I21" i="1"/>
  <c r="E38" i="1"/>
  <c r="F38" i="1"/>
  <c r="G42" i="1"/>
  <c r="I42" i="1"/>
  <c r="E40" i="1"/>
  <c r="F40" i="1"/>
  <c r="G35" i="1"/>
  <c r="I35" i="1"/>
  <c r="E32" i="1"/>
  <c r="F32" i="1"/>
  <c r="G26" i="1"/>
  <c r="I26" i="1"/>
  <c r="E24" i="1"/>
  <c r="F24" i="1"/>
  <c r="G48" i="1"/>
  <c r="K48" i="1"/>
  <c r="E45" i="1"/>
  <c r="F45" i="1"/>
  <c r="G39" i="1"/>
  <c r="I39" i="1"/>
  <c r="E33" i="1"/>
  <c r="F33" i="1"/>
  <c r="G31" i="1"/>
  <c r="I31" i="1"/>
  <c r="E29" i="1"/>
  <c r="F29" i="1"/>
  <c r="G23" i="1"/>
  <c r="I23" i="1"/>
  <c r="E21" i="1"/>
  <c r="F21" i="1"/>
  <c r="G44" i="1"/>
  <c r="I44" i="1"/>
  <c r="E42" i="1"/>
  <c r="F42" i="1"/>
  <c r="G46" i="1"/>
  <c r="K46" i="1"/>
  <c r="E35" i="1"/>
  <c r="F35" i="1"/>
  <c r="G28" i="1"/>
  <c r="I28" i="1"/>
  <c r="I37" i="1"/>
  <c r="E23" i="2"/>
  <c r="E15" i="2"/>
  <c r="E33" i="2"/>
  <c r="E14" i="2"/>
  <c r="E17" i="2"/>
  <c r="E34" i="2"/>
  <c r="E22" i="2"/>
  <c r="E32" i="2"/>
  <c r="E35" i="2"/>
  <c r="E25" i="2"/>
  <c r="E11" i="2"/>
  <c r="E27" i="2"/>
  <c r="C12" i="1"/>
  <c r="C11" i="1"/>
  <c r="O39" i="1" l="1"/>
  <c r="O45" i="1"/>
  <c r="O38" i="1"/>
  <c r="O43" i="1"/>
  <c r="O42" i="1"/>
  <c r="O32" i="1"/>
  <c r="O35" i="1"/>
  <c r="O34" i="1"/>
  <c r="O24" i="1"/>
  <c r="O26" i="1"/>
  <c r="C15" i="1"/>
  <c r="F18" i="1" s="1"/>
  <c r="O46" i="1"/>
  <c r="O25" i="1"/>
  <c r="O36" i="1"/>
  <c r="O48" i="1"/>
  <c r="O30" i="1"/>
  <c r="O40" i="1"/>
  <c r="O41" i="1"/>
  <c r="O22" i="1"/>
  <c r="O31" i="1"/>
  <c r="O21" i="1"/>
  <c r="O47" i="1"/>
  <c r="O28" i="1"/>
  <c r="O33" i="1"/>
  <c r="O27" i="1"/>
  <c r="O44" i="1"/>
  <c r="O29" i="1"/>
  <c r="O37" i="1"/>
  <c r="O23" i="1"/>
  <c r="C16" i="1"/>
  <c r="D18" i="1" s="1"/>
  <c r="F19" i="1" l="1"/>
  <c r="C18" i="1"/>
</calcChain>
</file>

<file path=xl/sharedStrings.xml><?xml version="1.0" encoding="utf-8"?>
<sst xmlns="http://schemas.openxmlformats.org/spreadsheetml/2006/main" count="302" uniqueCount="166">
  <si>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</si>
  <si>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</si>
  <si>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</si>
  <si>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</si>
  <si>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</si>
  <si>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</si>
  <si>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</si>
  <si>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</si>
  <si>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</si>
  <si>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</si>
  <si>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</si>
  <si>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</si>
  <si>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</si>
  <si>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</si>
  <si>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</si>
  <si>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</si>
  <si>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</si>
  <si>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</si>
  <si>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</si>
  <si>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</si>
  <si>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</si>
  <si>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</si>
  <si>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</si>
  <si>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</si>
  <si>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</si>
  <si>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</si>
  <si>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</si>
  <si>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</si>
  <si>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</si>
  <si>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Bull.35</t>
  </si>
  <si>
    <t>B</t>
  </si>
  <si>
    <t>BBSAG Bull.36</t>
  </si>
  <si>
    <t>BBSAG Bull.56</t>
  </si>
  <si>
    <t>BBSAG Bull.57</t>
  </si>
  <si>
    <t>BBSAG Bull.65</t>
  </si>
  <si>
    <t>BBSAG Bull.70</t>
  </si>
  <si>
    <t>BBSAG Bull.85</t>
  </si>
  <si>
    <t>BBSAG Bull.87</t>
  </si>
  <si>
    <t>BBSAG Bull.100</t>
  </si>
  <si>
    <t>bad?</t>
  </si>
  <si>
    <t>IL Tau / gsc 1826-0710?</t>
  </si>
  <si>
    <t>IBVS 5657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</si>
  <si>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</si>
  <si>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</si>
  <si>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</si>
  <si>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</si>
  <si>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</si>
  <si>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</si>
  <si>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EA/SD</t>
  </si>
  <si>
    <t>Start of linear fit &gt;&gt;&gt;&gt;&gt;&gt;&gt;&gt;&gt;&gt;&gt;&gt;&gt;&gt;&gt;&gt;&gt;&gt;&gt;&gt;&gt;</t>
  </si>
  <si>
    <t>IBVS 5929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</si>
  <si>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</si>
  <si>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</si>
  <si>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</si>
  <si>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</si>
  <si>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</si>
  <si>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</si>
  <si>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</si>
  <si>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</si>
  <si>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</si>
  <si>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</si>
  <si>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</si>
  <si>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2416872.215 </t>
  </si>
  <si>
    <t> 26.01.1905 17:09 </t>
  </si>
  <si>
    <t> 0.018 </t>
  </si>
  <si>
    <t>P </t>
  </si>
  <si>
    <t> S.A.Lamzin </t>
  </si>
  <si>
    <t> PZP 1.376 </t>
  </si>
  <si>
    <t>2437639.360 </t>
  </si>
  <si>
    <t> 05.12.1961 20:38 </t>
  </si>
  <si>
    <t> 0.121 </t>
  </si>
  <si>
    <t>2437639.448 </t>
  </si>
  <si>
    <t> 05.12.1961 22:45 </t>
  </si>
  <si>
    <t> 0.209 </t>
  </si>
  <si>
    <t>2438765.208 </t>
  </si>
  <si>
    <t> 04.01.1965 16:59 </t>
  </si>
  <si>
    <t> 0.239 </t>
  </si>
  <si>
    <t>2438840.266 </t>
  </si>
  <si>
    <t> 20.03.1965 18:23 </t>
  </si>
  <si>
    <t> 0.248 </t>
  </si>
  <si>
    <t>2439027.503 </t>
  </si>
  <si>
    <t> 24.09.1965 00:04 </t>
  </si>
  <si>
    <t> -0.136 </t>
  </si>
  <si>
    <t>2439408.414 </t>
  </si>
  <si>
    <t> 09.10.1966 21:56 </t>
  </si>
  <si>
    <t> 0.171 </t>
  </si>
  <si>
    <t>2439558.239 </t>
  </si>
  <si>
    <t> 08.03.1967 17:44 </t>
  </si>
  <si>
    <t> -0.102 </t>
  </si>
  <si>
    <t>2439767.487 </t>
  </si>
  <si>
    <t> 03.10.1967 23:41 </t>
  </si>
  <si>
    <t> 0.082 </t>
  </si>
  <si>
    <t>2440153.494 </t>
  </si>
  <si>
    <t> 23.10.1968 23:51 </t>
  </si>
  <si>
    <t> 0.125 </t>
  </si>
  <si>
    <t>2440287.233 </t>
  </si>
  <si>
    <t> 06.03.1969 17:35 </t>
  </si>
  <si>
    <t> -0.152 </t>
  </si>
  <si>
    <t>2440512.504 </t>
  </si>
  <si>
    <t> 18.10.1969 00:05 </t>
  </si>
  <si>
    <t> -0.027 </t>
  </si>
  <si>
    <t>2440539.484 </t>
  </si>
  <si>
    <t> 13.11.1969 23:36 </t>
  </si>
  <si>
    <t> 0.150 </t>
  </si>
  <si>
    <t>2440539.517 </t>
  </si>
  <si>
    <t> 14.11.1969 00:24 </t>
  </si>
  <si>
    <t> 0.183 </t>
  </si>
  <si>
    <t>2443396.548 </t>
  </si>
  <si>
    <t> 10.09.1977 01:09 </t>
  </si>
  <si>
    <t> 0.003 </t>
  </si>
  <si>
    <t>V </t>
  </si>
  <si>
    <t> K.Locher </t>
  </si>
  <si>
    <t> BBS 35 </t>
  </si>
  <si>
    <t>2443514.489 </t>
  </si>
  <si>
    <t> 05.01.1978 23:44 </t>
  </si>
  <si>
    <t> 0.011 </t>
  </si>
  <si>
    <t> BBS 36 </t>
  </si>
  <si>
    <t>2444854.620 </t>
  </si>
  <si>
    <t> 07.09.1981 02:52 </t>
  </si>
  <si>
    <t> -0.013 </t>
  </si>
  <si>
    <t> BBS 56 </t>
  </si>
  <si>
    <t>2444924.304 </t>
  </si>
  <si>
    <t> 15.11.1981 19:17 </t>
  </si>
  <si>
    <t> -0.017 </t>
  </si>
  <si>
    <t> BBS 57 </t>
  </si>
  <si>
    <t>2445385.308 </t>
  </si>
  <si>
    <t> 19.02.1983 19:23 </t>
  </si>
  <si>
    <t> BBS 65 </t>
  </si>
  <si>
    <t>2445701.545 </t>
  </si>
  <si>
    <t> 02.01.1984 01:04 </t>
  </si>
  <si>
    <t> -0.066 </t>
  </si>
  <si>
    <t> BBS 70 </t>
  </si>
  <si>
    <t>2447068.510 </t>
  </si>
  <si>
    <t> 30.09.1987 00:14 </t>
  </si>
  <si>
    <t> -0.059 </t>
  </si>
  <si>
    <t> BBS 85 </t>
  </si>
  <si>
    <t>2447170.290 </t>
  </si>
  <si>
    <t> 09.01.1988 18:57 </t>
  </si>
  <si>
    <t> -0.131 </t>
  </si>
  <si>
    <t> BBS 87 </t>
  </si>
  <si>
    <t>2448628.490 </t>
  </si>
  <si>
    <t> 06.01.1992 23:45 </t>
  </si>
  <si>
    <t> -0.020 </t>
  </si>
  <si>
    <t> BBS 100 </t>
  </si>
  <si>
    <t>2451555.4415 </t>
  </si>
  <si>
    <t> 11.01.2000 22:35 </t>
  </si>
  <si>
    <t> 0.0333 </t>
  </si>
  <si>
    <t>E </t>
  </si>
  <si>
    <t>?</t>
  </si>
  <si>
    <t> J.Safar </t>
  </si>
  <si>
    <t> BRNO 32 </t>
  </si>
  <si>
    <t>2453265.4988 </t>
  </si>
  <si>
    <t> 16.09.2004 23:58 </t>
  </si>
  <si>
    <t> 0.0528 </t>
  </si>
  <si>
    <t>o</t>
  </si>
  <si>
    <t> Moschner &amp; Frank </t>
  </si>
  <si>
    <t>BAVM 173 </t>
  </si>
  <si>
    <t>2455114.9225 </t>
  </si>
  <si>
    <t> 10.10.2009 10:08 </t>
  </si>
  <si>
    <t> 0.0626 </t>
  </si>
  <si>
    <t>C </t>
  </si>
  <si>
    <t> R.Nelson </t>
  </si>
  <si>
    <t>IBVS 5929 </t>
  </si>
  <si>
    <t>I</t>
  </si>
  <si>
    <t>Vis</t>
  </si>
  <si>
    <t>nelson pers 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</si>
</sst>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8" fillId="0" borderId="1" applyNumberFormat="0" applyFont="0" applyFill="0" applyAlignment="0" applyProtection="0"/>
  </cellStyleXfs>
  <cellXfs count="51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6" fillId="0" borderId="0" xfId="0" applyFont="1" applyAlignment="1"/>
    <xf numFmtId="0" fontId="8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>
      <alignment vertical="top"/>
    </xf>
    <xf numFmtId="0" fontId="13" fillId="0" borderId="0" xfId="0" applyFont="1" applyAlignment="1">
      <alignment horizontal="left"/>
    </xf>
    <xf numFmtId="0" fontId="5" fillId="0" borderId="5" xfId="0" applyFont="1" applyBorder="1" applyAlignment="1">
      <alignment vertic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6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6" fillId="2" borderId="12" xfId="7" applyFill="1" applyBorder="1" applyAlignment="1" applyProtection="1">
      <alignment horizontal="right" vertical="top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13" fillId="0" borderId="0" xfId="0" applyFont="1" applyAlignment="1"/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IL Tau - O-C Diagr.</a:t>
            </a:r>
          </a:p>
        </c:rich>
      </c:tx>
      <c:layout>
        <c:manualLayout>
          <c:xMode val="edge"/>
          <c:yMode val="edge"/>
          <c:x val="0.37412587412587411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34965034965034"/>
          <c:y val="0.14769252958613219"/>
          <c:w val="0.79720279720279719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-4410</c:v>
                </c:pt>
                <c:pt idx="1">
                  <c:v>-536</c:v>
                </c:pt>
                <c:pt idx="2">
                  <c:v>-536</c:v>
                </c:pt>
                <c:pt idx="3">
                  <c:v>-326</c:v>
                </c:pt>
                <c:pt idx="4">
                  <c:v>-312</c:v>
                </c:pt>
                <c:pt idx="5">
                  <c:v>-277</c:v>
                </c:pt>
                <c:pt idx="6">
                  <c:v>-206</c:v>
                </c:pt>
                <c:pt idx="7">
                  <c:v>-178</c:v>
                </c:pt>
                <c:pt idx="8">
                  <c:v>-139</c:v>
                </c:pt>
                <c:pt idx="9">
                  <c:v>-67</c:v>
                </c:pt>
                <c:pt idx="10">
                  <c:v>-42</c:v>
                </c:pt>
                <c:pt idx="11">
                  <c:v>0</c:v>
                </c:pt>
                <c:pt idx="12">
                  <c:v>0</c:v>
                </c:pt>
                <c:pt idx="13">
                  <c:v>5</c:v>
                </c:pt>
                <c:pt idx="14">
                  <c:v>5</c:v>
                </c:pt>
                <c:pt idx="15">
                  <c:v>538</c:v>
                </c:pt>
                <c:pt idx="16">
                  <c:v>560</c:v>
                </c:pt>
                <c:pt idx="17">
                  <c:v>560</c:v>
                </c:pt>
                <c:pt idx="18">
                  <c:v>810</c:v>
                </c:pt>
                <c:pt idx="19">
                  <c:v>823</c:v>
                </c:pt>
                <c:pt idx="20">
                  <c:v>909</c:v>
                </c:pt>
                <c:pt idx="21">
                  <c:v>968</c:v>
                </c:pt>
                <c:pt idx="22">
                  <c:v>1223</c:v>
                </c:pt>
                <c:pt idx="23">
                  <c:v>1242</c:v>
                </c:pt>
                <c:pt idx="24">
                  <c:v>1514</c:v>
                </c:pt>
                <c:pt idx="25">
                  <c:v>2060</c:v>
                </c:pt>
                <c:pt idx="26">
                  <c:v>2379</c:v>
                </c:pt>
                <c:pt idx="27">
                  <c:v>2724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C7-4666-B8DF-4AC6F7C03AB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12">
                    <c:v>0</c:v>
                  </c:pt>
                  <c:pt idx="24">
                    <c:v>6.0000000000000001E-3</c:v>
                  </c:pt>
                  <c:pt idx="26">
                    <c:v>2.9999999999999997E-4</c:v>
                  </c:pt>
                  <c:pt idx="27">
                    <c:v>2.0000000000000001E-4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12">
                    <c:v>0</c:v>
                  </c:pt>
                  <c:pt idx="24">
                    <c:v>6.0000000000000001E-3</c:v>
                  </c:pt>
                  <c:pt idx="26">
                    <c:v>2.9999999999999997E-4</c:v>
                  </c:pt>
                  <c:pt idx="2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-4410</c:v>
                </c:pt>
                <c:pt idx="1">
                  <c:v>-536</c:v>
                </c:pt>
                <c:pt idx="2">
                  <c:v>-536</c:v>
                </c:pt>
                <c:pt idx="3">
                  <c:v>-326</c:v>
                </c:pt>
                <c:pt idx="4">
                  <c:v>-312</c:v>
                </c:pt>
                <c:pt idx="5">
                  <c:v>-277</c:v>
                </c:pt>
                <c:pt idx="6">
                  <c:v>-206</c:v>
                </c:pt>
                <c:pt idx="7">
                  <c:v>-178</c:v>
                </c:pt>
                <c:pt idx="8">
                  <c:v>-139</c:v>
                </c:pt>
                <c:pt idx="9">
                  <c:v>-67</c:v>
                </c:pt>
                <c:pt idx="10">
                  <c:v>-42</c:v>
                </c:pt>
                <c:pt idx="11">
                  <c:v>0</c:v>
                </c:pt>
                <c:pt idx="12">
                  <c:v>0</c:v>
                </c:pt>
                <c:pt idx="13">
                  <c:v>5</c:v>
                </c:pt>
                <c:pt idx="14">
                  <c:v>5</c:v>
                </c:pt>
                <c:pt idx="15">
                  <c:v>538</c:v>
                </c:pt>
                <c:pt idx="16">
                  <c:v>560</c:v>
                </c:pt>
                <c:pt idx="17">
                  <c:v>560</c:v>
                </c:pt>
                <c:pt idx="18">
                  <c:v>810</c:v>
                </c:pt>
                <c:pt idx="19">
                  <c:v>823</c:v>
                </c:pt>
                <c:pt idx="20">
                  <c:v>909</c:v>
                </c:pt>
                <c:pt idx="21">
                  <c:v>968</c:v>
                </c:pt>
                <c:pt idx="22">
                  <c:v>1223</c:v>
                </c:pt>
                <c:pt idx="23">
                  <c:v>1242</c:v>
                </c:pt>
                <c:pt idx="24">
                  <c:v>1514</c:v>
                </c:pt>
                <c:pt idx="25">
                  <c:v>2060</c:v>
                </c:pt>
                <c:pt idx="26">
                  <c:v>2379</c:v>
                </c:pt>
                <c:pt idx="27">
                  <c:v>2724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1.8199999998614658E-2</c:v>
                </c:pt>
                <c:pt idx="1">
                  <c:v>0.12131999999837717</c:v>
                </c:pt>
                <c:pt idx="2">
                  <c:v>0.20931999999447726</c:v>
                </c:pt>
                <c:pt idx="3">
                  <c:v>0.23911999999836553</c:v>
                </c:pt>
                <c:pt idx="4">
                  <c:v>0.24844000000302913</c:v>
                </c:pt>
                <c:pt idx="5">
                  <c:v>-0.13626000000658678</c:v>
                </c:pt>
                <c:pt idx="6">
                  <c:v>0.17071999999461696</c:v>
                </c:pt>
                <c:pt idx="7">
                  <c:v>-0.10164000000077067</c:v>
                </c:pt>
                <c:pt idx="8">
                  <c:v>8.2179999997606501E-2</c:v>
                </c:pt>
                <c:pt idx="9">
                  <c:v>0.12453999999706866</c:v>
                </c:pt>
                <c:pt idx="10">
                  <c:v>-0.15196000000287313</c:v>
                </c:pt>
                <c:pt idx="11">
                  <c:v>-2.7000000001862645E-2</c:v>
                </c:pt>
                <c:pt idx="13">
                  <c:v>0.14989999999670545</c:v>
                </c:pt>
                <c:pt idx="14">
                  <c:v>0.18289999999979045</c:v>
                </c:pt>
                <c:pt idx="15">
                  <c:v>3.4400000004097819E-3</c:v>
                </c:pt>
                <c:pt idx="16">
                  <c:v>1.0799999996379483E-2</c:v>
                </c:pt>
                <c:pt idx="17">
                  <c:v>0.93079999999463325</c:v>
                </c:pt>
                <c:pt idx="18">
                  <c:v>-1.3200000001234002E-2</c:v>
                </c:pt>
                <c:pt idx="19">
                  <c:v>-1.726000000780914E-2</c:v>
                </c:pt>
                <c:pt idx="20">
                  <c:v>-2.658000000519678E-2</c:v>
                </c:pt>
                <c:pt idx="21">
                  <c:v>-6.6160000002128072E-2</c:v>
                </c:pt>
                <c:pt idx="22">
                  <c:v>-5.9260000001813751E-2</c:v>
                </c:pt>
                <c:pt idx="23">
                  <c:v>-0.13104000000021188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C7-4666-B8DF-4AC6F7C03AB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2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-4410</c:v>
                </c:pt>
                <c:pt idx="1">
                  <c:v>-536</c:v>
                </c:pt>
                <c:pt idx="2">
                  <c:v>-536</c:v>
                </c:pt>
                <c:pt idx="3">
                  <c:v>-326</c:v>
                </c:pt>
                <c:pt idx="4">
                  <c:v>-312</c:v>
                </c:pt>
                <c:pt idx="5">
                  <c:v>-277</c:v>
                </c:pt>
                <c:pt idx="6">
                  <c:v>-206</c:v>
                </c:pt>
                <c:pt idx="7">
                  <c:v>-178</c:v>
                </c:pt>
                <c:pt idx="8">
                  <c:v>-139</c:v>
                </c:pt>
                <c:pt idx="9">
                  <c:v>-67</c:v>
                </c:pt>
                <c:pt idx="10">
                  <c:v>-42</c:v>
                </c:pt>
                <c:pt idx="11">
                  <c:v>0</c:v>
                </c:pt>
                <c:pt idx="12">
                  <c:v>0</c:v>
                </c:pt>
                <c:pt idx="13">
                  <c:v>5</c:v>
                </c:pt>
                <c:pt idx="14">
                  <c:v>5</c:v>
                </c:pt>
                <c:pt idx="15">
                  <c:v>538</c:v>
                </c:pt>
                <c:pt idx="16">
                  <c:v>560</c:v>
                </c:pt>
                <c:pt idx="17">
                  <c:v>560</c:v>
                </c:pt>
                <c:pt idx="18">
                  <c:v>810</c:v>
                </c:pt>
                <c:pt idx="19">
                  <c:v>823</c:v>
                </c:pt>
                <c:pt idx="20">
                  <c:v>909</c:v>
                </c:pt>
                <c:pt idx="21">
                  <c:v>968</c:v>
                </c:pt>
                <c:pt idx="22">
                  <c:v>1223</c:v>
                </c:pt>
                <c:pt idx="23">
                  <c:v>1242</c:v>
                </c:pt>
                <c:pt idx="24">
                  <c:v>1514</c:v>
                </c:pt>
                <c:pt idx="25">
                  <c:v>2060</c:v>
                </c:pt>
                <c:pt idx="26">
                  <c:v>2379</c:v>
                </c:pt>
                <c:pt idx="27">
                  <c:v>2724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C7-4666-B8DF-4AC6F7C03AB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2">
                    <c:v>0</c:v>
                  </c:pt>
                  <c:pt idx="24">
                    <c:v>6.0000000000000001E-3</c:v>
                  </c:pt>
                  <c:pt idx="26">
                    <c:v>2.9999999999999997E-4</c:v>
                  </c:pt>
                  <c:pt idx="27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2">
                    <c:v>0</c:v>
                  </c:pt>
                  <c:pt idx="24">
                    <c:v>6.0000000000000001E-3</c:v>
                  </c:pt>
                  <c:pt idx="26">
                    <c:v>2.9999999999999997E-4</c:v>
                  </c:pt>
                  <c:pt idx="2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-4410</c:v>
                </c:pt>
                <c:pt idx="1">
                  <c:v>-536</c:v>
                </c:pt>
                <c:pt idx="2">
                  <c:v>-536</c:v>
                </c:pt>
                <c:pt idx="3">
                  <c:v>-326</c:v>
                </c:pt>
                <c:pt idx="4">
                  <c:v>-312</c:v>
                </c:pt>
                <c:pt idx="5">
                  <c:v>-277</c:v>
                </c:pt>
                <c:pt idx="6">
                  <c:v>-206</c:v>
                </c:pt>
                <c:pt idx="7">
                  <c:v>-178</c:v>
                </c:pt>
                <c:pt idx="8">
                  <c:v>-139</c:v>
                </c:pt>
                <c:pt idx="9">
                  <c:v>-67</c:v>
                </c:pt>
                <c:pt idx="10">
                  <c:v>-42</c:v>
                </c:pt>
                <c:pt idx="11">
                  <c:v>0</c:v>
                </c:pt>
                <c:pt idx="12">
                  <c:v>0</c:v>
                </c:pt>
                <c:pt idx="13">
                  <c:v>5</c:v>
                </c:pt>
                <c:pt idx="14">
                  <c:v>5</c:v>
                </c:pt>
                <c:pt idx="15">
                  <c:v>538</c:v>
                </c:pt>
                <c:pt idx="16">
                  <c:v>560</c:v>
                </c:pt>
                <c:pt idx="17">
                  <c:v>560</c:v>
                </c:pt>
                <c:pt idx="18">
                  <c:v>810</c:v>
                </c:pt>
                <c:pt idx="19">
                  <c:v>823</c:v>
                </c:pt>
                <c:pt idx="20">
                  <c:v>909</c:v>
                </c:pt>
                <c:pt idx="21">
                  <c:v>968</c:v>
                </c:pt>
                <c:pt idx="22">
                  <c:v>1223</c:v>
                </c:pt>
                <c:pt idx="23">
                  <c:v>1242</c:v>
                </c:pt>
                <c:pt idx="24">
                  <c:v>1514</c:v>
                </c:pt>
                <c:pt idx="25">
                  <c:v>2060</c:v>
                </c:pt>
                <c:pt idx="26">
                  <c:v>2379</c:v>
                </c:pt>
                <c:pt idx="27">
                  <c:v>2724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4">
                  <c:v>-1.9680000004882459E-2</c:v>
                </c:pt>
                <c:pt idx="25">
                  <c:v>3.3299999995506369E-2</c:v>
                </c:pt>
                <c:pt idx="26">
                  <c:v>5.281999999715481E-2</c:v>
                </c:pt>
                <c:pt idx="27">
                  <c:v>6.2619999996968545E-2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DC7-4666-B8DF-4AC6F7C03AB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2">
                    <c:v>0</c:v>
                  </c:pt>
                  <c:pt idx="24">
                    <c:v>6.0000000000000001E-3</c:v>
                  </c:pt>
                  <c:pt idx="26">
                    <c:v>2.9999999999999997E-4</c:v>
                  </c:pt>
                  <c:pt idx="27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2">
                    <c:v>0</c:v>
                  </c:pt>
                  <c:pt idx="24">
                    <c:v>6.0000000000000001E-3</c:v>
                  </c:pt>
                  <c:pt idx="26">
                    <c:v>2.9999999999999997E-4</c:v>
                  </c:pt>
                  <c:pt idx="2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-4410</c:v>
                </c:pt>
                <c:pt idx="1">
                  <c:v>-536</c:v>
                </c:pt>
                <c:pt idx="2">
                  <c:v>-536</c:v>
                </c:pt>
                <c:pt idx="3">
                  <c:v>-326</c:v>
                </c:pt>
                <c:pt idx="4">
                  <c:v>-312</c:v>
                </c:pt>
                <c:pt idx="5">
                  <c:v>-277</c:v>
                </c:pt>
                <c:pt idx="6">
                  <c:v>-206</c:v>
                </c:pt>
                <c:pt idx="7">
                  <c:v>-178</c:v>
                </c:pt>
                <c:pt idx="8">
                  <c:v>-139</c:v>
                </c:pt>
                <c:pt idx="9">
                  <c:v>-67</c:v>
                </c:pt>
                <c:pt idx="10">
                  <c:v>-42</c:v>
                </c:pt>
                <c:pt idx="11">
                  <c:v>0</c:v>
                </c:pt>
                <c:pt idx="12">
                  <c:v>0</c:v>
                </c:pt>
                <c:pt idx="13">
                  <c:v>5</c:v>
                </c:pt>
                <c:pt idx="14">
                  <c:v>5</c:v>
                </c:pt>
                <c:pt idx="15">
                  <c:v>538</c:v>
                </c:pt>
                <c:pt idx="16">
                  <c:v>560</c:v>
                </c:pt>
                <c:pt idx="17">
                  <c:v>560</c:v>
                </c:pt>
                <c:pt idx="18">
                  <c:v>810</c:v>
                </c:pt>
                <c:pt idx="19">
                  <c:v>823</c:v>
                </c:pt>
                <c:pt idx="20">
                  <c:v>909</c:v>
                </c:pt>
                <c:pt idx="21">
                  <c:v>968</c:v>
                </c:pt>
                <c:pt idx="22">
                  <c:v>1223</c:v>
                </c:pt>
                <c:pt idx="23">
                  <c:v>1242</c:v>
                </c:pt>
                <c:pt idx="24">
                  <c:v>1514</c:v>
                </c:pt>
                <c:pt idx="25">
                  <c:v>2060</c:v>
                </c:pt>
                <c:pt idx="26">
                  <c:v>2379</c:v>
                </c:pt>
                <c:pt idx="27">
                  <c:v>2724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DC7-4666-B8DF-4AC6F7C03AB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2">
                    <c:v>0</c:v>
                  </c:pt>
                  <c:pt idx="24">
                    <c:v>6.0000000000000001E-3</c:v>
                  </c:pt>
                  <c:pt idx="26">
                    <c:v>2.9999999999999997E-4</c:v>
                  </c:pt>
                  <c:pt idx="27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2">
                    <c:v>0</c:v>
                  </c:pt>
                  <c:pt idx="24">
                    <c:v>6.0000000000000001E-3</c:v>
                  </c:pt>
                  <c:pt idx="26">
                    <c:v>2.9999999999999997E-4</c:v>
                  </c:pt>
                  <c:pt idx="2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-4410</c:v>
                </c:pt>
                <c:pt idx="1">
                  <c:v>-536</c:v>
                </c:pt>
                <c:pt idx="2">
                  <c:v>-536</c:v>
                </c:pt>
                <c:pt idx="3">
                  <c:v>-326</c:v>
                </c:pt>
                <c:pt idx="4">
                  <c:v>-312</c:v>
                </c:pt>
                <c:pt idx="5">
                  <c:v>-277</c:v>
                </c:pt>
                <c:pt idx="6">
                  <c:v>-206</c:v>
                </c:pt>
                <c:pt idx="7">
                  <c:v>-178</c:v>
                </c:pt>
                <c:pt idx="8">
                  <c:v>-139</c:v>
                </c:pt>
                <c:pt idx="9">
                  <c:v>-67</c:v>
                </c:pt>
                <c:pt idx="10">
                  <c:v>-42</c:v>
                </c:pt>
                <c:pt idx="11">
                  <c:v>0</c:v>
                </c:pt>
                <c:pt idx="12">
                  <c:v>0</c:v>
                </c:pt>
                <c:pt idx="13">
                  <c:v>5</c:v>
                </c:pt>
                <c:pt idx="14">
                  <c:v>5</c:v>
                </c:pt>
                <c:pt idx="15">
                  <c:v>538</c:v>
                </c:pt>
                <c:pt idx="16">
                  <c:v>560</c:v>
                </c:pt>
                <c:pt idx="17">
                  <c:v>560</c:v>
                </c:pt>
                <c:pt idx="18">
                  <c:v>810</c:v>
                </c:pt>
                <c:pt idx="19">
                  <c:v>823</c:v>
                </c:pt>
                <c:pt idx="20">
                  <c:v>909</c:v>
                </c:pt>
                <c:pt idx="21">
                  <c:v>968</c:v>
                </c:pt>
                <c:pt idx="22">
                  <c:v>1223</c:v>
                </c:pt>
                <c:pt idx="23">
                  <c:v>1242</c:v>
                </c:pt>
                <c:pt idx="24">
                  <c:v>1514</c:v>
                </c:pt>
                <c:pt idx="25">
                  <c:v>2060</c:v>
                </c:pt>
                <c:pt idx="26">
                  <c:v>2379</c:v>
                </c:pt>
                <c:pt idx="27">
                  <c:v>2724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DC7-4666-B8DF-4AC6F7C03AB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2">
                    <c:v>0</c:v>
                  </c:pt>
                  <c:pt idx="24">
                    <c:v>6.0000000000000001E-3</c:v>
                  </c:pt>
                  <c:pt idx="26">
                    <c:v>2.9999999999999997E-4</c:v>
                  </c:pt>
                  <c:pt idx="27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2">
                    <c:v>0</c:v>
                  </c:pt>
                  <c:pt idx="24">
                    <c:v>6.0000000000000001E-3</c:v>
                  </c:pt>
                  <c:pt idx="26">
                    <c:v>2.9999999999999997E-4</c:v>
                  </c:pt>
                  <c:pt idx="2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-4410</c:v>
                </c:pt>
                <c:pt idx="1">
                  <c:v>-536</c:v>
                </c:pt>
                <c:pt idx="2">
                  <c:v>-536</c:v>
                </c:pt>
                <c:pt idx="3">
                  <c:v>-326</c:v>
                </c:pt>
                <c:pt idx="4">
                  <c:v>-312</c:v>
                </c:pt>
                <c:pt idx="5">
                  <c:v>-277</c:v>
                </c:pt>
                <c:pt idx="6">
                  <c:v>-206</c:v>
                </c:pt>
                <c:pt idx="7">
                  <c:v>-178</c:v>
                </c:pt>
                <c:pt idx="8">
                  <c:v>-139</c:v>
                </c:pt>
                <c:pt idx="9">
                  <c:v>-67</c:v>
                </c:pt>
                <c:pt idx="10">
                  <c:v>-42</c:v>
                </c:pt>
                <c:pt idx="11">
                  <c:v>0</c:v>
                </c:pt>
                <c:pt idx="12">
                  <c:v>0</c:v>
                </c:pt>
                <c:pt idx="13">
                  <c:v>5</c:v>
                </c:pt>
                <c:pt idx="14">
                  <c:v>5</c:v>
                </c:pt>
                <c:pt idx="15">
                  <c:v>538</c:v>
                </c:pt>
                <c:pt idx="16">
                  <c:v>560</c:v>
                </c:pt>
                <c:pt idx="17">
                  <c:v>560</c:v>
                </c:pt>
                <c:pt idx="18">
                  <c:v>810</c:v>
                </c:pt>
                <c:pt idx="19">
                  <c:v>823</c:v>
                </c:pt>
                <c:pt idx="20">
                  <c:v>909</c:v>
                </c:pt>
                <c:pt idx="21">
                  <c:v>968</c:v>
                </c:pt>
                <c:pt idx="22">
                  <c:v>1223</c:v>
                </c:pt>
                <c:pt idx="23">
                  <c:v>1242</c:v>
                </c:pt>
                <c:pt idx="24">
                  <c:v>1514</c:v>
                </c:pt>
                <c:pt idx="25">
                  <c:v>2060</c:v>
                </c:pt>
                <c:pt idx="26">
                  <c:v>2379</c:v>
                </c:pt>
                <c:pt idx="27">
                  <c:v>2724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DC7-4666-B8DF-4AC6F7C03AB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-4410</c:v>
                </c:pt>
                <c:pt idx="1">
                  <c:v>-536</c:v>
                </c:pt>
                <c:pt idx="2">
                  <c:v>-536</c:v>
                </c:pt>
                <c:pt idx="3">
                  <c:v>-326</c:v>
                </c:pt>
                <c:pt idx="4">
                  <c:v>-312</c:v>
                </c:pt>
                <c:pt idx="5">
                  <c:v>-277</c:v>
                </c:pt>
                <c:pt idx="6">
                  <c:v>-206</c:v>
                </c:pt>
                <c:pt idx="7">
                  <c:v>-178</c:v>
                </c:pt>
                <c:pt idx="8">
                  <c:v>-139</c:v>
                </c:pt>
                <c:pt idx="9">
                  <c:v>-67</c:v>
                </c:pt>
                <c:pt idx="10">
                  <c:v>-42</c:v>
                </c:pt>
                <c:pt idx="11">
                  <c:v>0</c:v>
                </c:pt>
                <c:pt idx="12">
                  <c:v>0</c:v>
                </c:pt>
                <c:pt idx="13">
                  <c:v>5</c:v>
                </c:pt>
                <c:pt idx="14">
                  <c:v>5</c:v>
                </c:pt>
                <c:pt idx="15">
                  <c:v>538</c:v>
                </c:pt>
                <c:pt idx="16">
                  <c:v>560</c:v>
                </c:pt>
                <c:pt idx="17">
                  <c:v>560</c:v>
                </c:pt>
                <c:pt idx="18">
                  <c:v>810</c:v>
                </c:pt>
                <c:pt idx="19">
                  <c:v>823</c:v>
                </c:pt>
                <c:pt idx="20">
                  <c:v>909</c:v>
                </c:pt>
                <c:pt idx="21">
                  <c:v>968</c:v>
                </c:pt>
                <c:pt idx="22">
                  <c:v>1223</c:v>
                </c:pt>
                <c:pt idx="23">
                  <c:v>1242</c:v>
                </c:pt>
                <c:pt idx="24">
                  <c:v>1514</c:v>
                </c:pt>
                <c:pt idx="25">
                  <c:v>2060</c:v>
                </c:pt>
                <c:pt idx="26">
                  <c:v>2379</c:v>
                </c:pt>
                <c:pt idx="27">
                  <c:v>2724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-0.28413180867834764</c:v>
                </c:pt>
                <c:pt idx="1">
                  <c:v>-0.10467555283460868</c:v>
                </c:pt>
                <c:pt idx="2">
                  <c:v>-0.10467555283460868</c:v>
                </c:pt>
                <c:pt idx="3">
                  <c:v>-9.4947671129088501E-2</c:v>
                </c:pt>
                <c:pt idx="4">
                  <c:v>-9.4299145682053831E-2</c:v>
                </c:pt>
                <c:pt idx="5">
                  <c:v>-9.2677832064467128E-2</c:v>
                </c:pt>
                <c:pt idx="6">
                  <c:v>-8.9388881583076965E-2</c:v>
                </c:pt>
                <c:pt idx="7">
                  <c:v>-8.8091830689007611E-2</c:v>
                </c:pt>
                <c:pt idx="8">
                  <c:v>-8.6285224086553869E-2</c:v>
                </c:pt>
                <c:pt idx="9">
                  <c:v>-8.294995035894695E-2</c:v>
                </c:pt>
                <c:pt idx="10">
                  <c:v>-8.1791869203527878E-2</c:v>
                </c:pt>
                <c:pt idx="11">
                  <c:v>-7.984629286242384E-2</c:v>
                </c:pt>
                <c:pt idx="12">
                  <c:v>-7.984629286242384E-2</c:v>
                </c:pt>
                <c:pt idx="13">
                  <c:v>-7.9614676631340031E-2</c:v>
                </c:pt>
                <c:pt idx="14">
                  <c:v>-7.9614676631340031E-2</c:v>
                </c:pt>
                <c:pt idx="15">
                  <c:v>-5.4924386397805475E-2</c:v>
                </c:pt>
                <c:pt idx="16">
                  <c:v>-5.3905274981036685E-2</c:v>
                </c:pt>
                <c:pt idx="17">
                  <c:v>-5.3905274981036685E-2</c:v>
                </c:pt>
                <c:pt idx="18">
                  <c:v>-4.2324463426845996E-2</c:v>
                </c:pt>
                <c:pt idx="19">
                  <c:v>-4.1722261226028082E-2</c:v>
                </c:pt>
                <c:pt idx="20">
                  <c:v>-3.7738462051386486E-2</c:v>
                </c:pt>
                <c:pt idx="21">
                  <c:v>-3.5005390524597481E-2</c:v>
                </c:pt>
                <c:pt idx="22">
                  <c:v>-2.3192962739322975E-2</c:v>
                </c:pt>
                <c:pt idx="23">
                  <c:v>-2.2312821061204482E-2</c:v>
                </c:pt>
                <c:pt idx="24">
                  <c:v>-9.7128980902450035E-3</c:v>
                </c:pt>
                <c:pt idx="25">
                  <c:v>1.5579594344107467E-2</c:v>
                </c:pt>
                <c:pt idx="26">
                  <c:v>3.0356709887254779E-2</c:v>
                </c:pt>
                <c:pt idx="27">
                  <c:v>4.6338229832037947E-2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DC7-4666-B8DF-4AC6F7C03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4409232"/>
        <c:axId val="1"/>
      </c:scatterChart>
      <c:valAx>
        <c:axId val="8944092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22377622377625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447552447552448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4409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587412587412589"/>
          <c:y val="0.92000129214617399"/>
          <c:w val="0.86013986013986021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IL Tau - O-C Diagr.</a:t>
            </a:r>
          </a:p>
        </c:rich>
      </c:tx>
      <c:layout>
        <c:manualLayout>
          <c:xMode val="edge"/>
          <c:yMode val="edge"/>
          <c:x val="0.3752186997567711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61629379413074"/>
          <c:y val="0.14723926380368099"/>
          <c:w val="0.8080293003335316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-4410</c:v>
                </c:pt>
                <c:pt idx="1">
                  <c:v>-536</c:v>
                </c:pt>
                <c:pt idx="2">
                  <c:v>-536</c:v>
                </c:pt>
                <c:pt idx="3">
                  <c:v>-326</c:v>
                </c:pt>
                <c:pt idx="4">
                  <c:v>-312</c:v>
                </c:pt>
                <c:pt idx="5">
                  <c:v>-277</c:v>
                </c:pt>
                <c:pt idx="6">
                  <c:v>-206</c:v>
                </c:pt>
                <c:pt idx="7">
                  <c:v>-178</c:v>
                </c:pt>
                <c:pt idx="8">
                  <c:v>-139</c:v>
                </c:pt>
                <c:pt idx="9">
                  <c:v>-67</c:v>
                </c:pt>
                <c:pt idx="10">
                  <c:v>-42</c:v>
                </c:pt>
                <c:pt idx="11">
                  <c:v>0</c:v>
                </c:pt>
                <c:pt idx="12">
                  <c:v>0</c:v>
                </c:pt>
                <c:pt idx="13">
                  <c:v>5</c:v>
                </c:pt>
                <c:pt idx="14">
                  <c:v>5</c:v>
                </c:pt>
                <c:pt idx="15">
                  <c:v>538</c:v>
                </c:pt>
                <c:pt idx="16">
                  <c:v>560</c:v>
                </c:pt>
                <c:pt idx="17">
                  <c:v>560</c:v>
                </c:pt>
                <c:pt idx="18">
                  <c:v>810</c:v>
                </c:pt>
                <c:pt idx="19">
                  <c:v>823</c:v>
                </c:pt>
                <c:pt idx="20">
                  <c:v>909</c:v>
                </c:pt>
                <c:pt idx="21">
                  <c:v>968</c:v>
                </c:pt>
                <c:pt idx="22">
                  <c:v>1223</c:v>
                </c:pt>
                <c:pt idx="23">
                  <c:v>1242</c:v>
                </c:pt>
                <c:pt idx="24">
                  <c:v>1514</c:v>
                </c:pt>
                <c:pt idx="25">
                  <c:v>2060</c:v>
                </c:pt>
                <c:pt idx="26">
                  <c:v>2379</c:v>
                </c:pt>
                <c:pt idx="27">
                  <c:v>2724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54-464E-B554-2B880DD8172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12">
                    <c:v>0</c:v>
                  </c:pt>
                  <c:pt idx="24">
                    <c:v>6.0000000000000001E-3</c:v>
                  </c:pt>
                  <c:pt idx="26">
                    <c:v>2.9999999999999997E-4</c:v>
                  </c:pt>
                  <c:pt idx="27">
                    <c:v>2.0000000000000001E-4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12">
                    <c:v>0</c:v>
                  </c:pt>
                  <c:pt idx="24">
                    <c:v>6.0000000000000001E-3</c:v>
                  </c:pt>
                  <c:pt idx="26">
                    <c:v>2.9999999999999997E-4</c:v>
                  </c:pt>
                  <c:pt idx="2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-4410</c:v>
                </c:pt>
                <c:pt idx="1">
                  <c:v>-536</c:v>
                </c:pt>
                <c:pt idx="2">
                  <c:v>-536</c:v>
                </c:pt>
                <c:pt idx="3">
                  <c:v>-326</c:v>
                </c:pt>
                <c:pt idx="4">
                  <c:v>-312</c:v>
                </c:pt>
                <c:pt idx="5">
                  <c:v>-277</c:v>
                </c:pt>
                <c:pt idx="6">
                  <c:v>-206</c:v>
                </c:pt>
                <c:pt idx="7">
                  <c:v>-178</c:v>
                </c:pt>
                <c:pt idx="8">
                  <c:v>-139</c:v>
                </c:pt>
                <c:pt idx="9">
                  <c:v>-67</c:v>
                </c:pt>
                <c:pt idx="10">
                  <c:v>-42</c:v>
                </c:pt>
                <c:pt idx="11">
                  <c:v>0</c:v>
                </c:pt>
                <c:pt idx="12">
                  <c:v>0</c:v>
                </c:pt>
                <c:pt idx="13">
                  <c:v>5</c:v>
                </c:pt>
                <c:pt idx="14">
                  <c:v>5</c:v>
                </c:pt>
                <c:pt idx="15">
                  <c:v>538</c:v>
                </c:pt>
                <c:pt idx="16">
                  <c:v>560</c:v>
                </c:pt>
                <c:pt idx="17">
                  <c:v>560</c:v>
                </c:pt>
                <c:pt idx="18">
                  <c:v>810</c:v>
                </c:pt>
                <c:pt idx="19">
                  <c:v>823</c:v>
                </c:pt>
                <c:pt idx="20">
                  <c:v>909</c:v>
                </c:pt>
                <c:pt idx="21">
                  <c:v>968</c:v>
                </c:pt>
                <c:pt idx="22">
                  <c:v>1223</c:v>
                </c:pt>
                <c:pt idx="23">
                  <c:v>1242</c:v>
                </c:pt>
                <c:pt idx="24">
                  <c:v>1514</c:v>
                </c:pt>
                <c:pt idx="25">
                  <c:v>2060</c:v>
                </c:pt>
                <c:pt idx="26">
                  <c:v>2379</c:v>
                </c:pt>
                <c:pt idx="27">
                  <c:v>2724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1.8199999998614658E-2</c:v>
                </c:pt>
                <c:pt idx="1">
                  <c:v>0.12131999999837717</c:v>
                </c:pt>
                <c:pt idx="2">
                  <c:v>0.20931999999447726</c:v>
                </c:pt>
                <c:pt idx="3">
                  <c:v>0.23911999999836553</c:v>
                </c:pt>
                <c:pt idx="4">
                  <c:v>0.24844000000302913</c:v>
                </c:pt>
                <c:pt idx="5">
                  <c:v>-0.13626000000658678</c:v>
                </c:pt>
                <c:pt idx="6">
                  <c:v>0.17071999999461696</c:v>
                </c:pt>
                <c:pt idx="7">
                  <c:v>-0.10164000000077067</c:v>
                </c:pt>
                <c:pt idx="8">
                  <c:v>8.2179999997606501E-2</c:v>
                </c:pt>
                <c:pt idx="9">
                  <c:v>0.12453999999706866</c:v>
                </c:pt>
                <c:pt idx="10">
                  <c:v>-0.15196000000287313</c:v>
                </c:pt>
                <c:pt idx="11">
                  <c:v>-2.7000000001862645E-2</c:v>
                </c:pt>
                <c:pt idx="13">
                  <c:v>0.14989999999670545</c:v>
                </c:pt>
                <c:pt idx="14">
                  <c:v>0.18289999999979045</c:v>
                </c:pt>
                <c:pt idx="15">
                  <c:v>3.4400000004097819E-3</c:v>
                </c:pt>
                <c:pt idx="16">
                  <c:v>1.0799999996379483E-2</c:v>
                </c:pt>
                <c:pt idx="17">
                  <c:v>0.93079999999463325</c:v>
                </c:pt>
                <c:pt idx="18">
                  <c:v>-1.3200000001234002E-2</c:v>
                </c:pt>
                <c:pt idx="19">
                  <c:v>-1.726000000780914E-2</c:v>
                </c:pt>
                <c:pt idx="20">
                  <c:v>-2.658000000519678E-2</c:v>
                </c:pt>
                <c:pt idx="21">
                  <c:v>-6.6160000002128072E-2</c:v>
                </c:pt>
                <c:pt idx="22">
                  <c:v>-5.9260000001813751E-2</c:v>
                </c:pt>
                <c:pt idx="23">
                  <c:v>-0.13104000000021188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54-464E-B554-2B880DD8172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2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-4410</c:v>
                </c:pt>
                <c:pt idx="1">
                  <c:v>-536</c:v>
                </c:pt>
                <c:pt idx="2">
                  <c:v>-536</c:v>
                </c:pt>
                <c:pt idx="3">
                  <c:v>-326</c:v>
                </c:pt>
                <c:pt idx="4">
                  <c:v>-312</c:v>
                </c:pt>
                <c:pt idx="5">
                  <c:v>-277</c:v>
                </c:pt>
                <c:pt idx="6">
                  <c:v>-206</c:v>
                </c:pt>
                <c:pt idx="7">
                  <c:v>-178</c:v>
                </c:pt>
                <c:pt idx="8">
                  <c:v>-139</c:v>
                </c:pt>
                <c:pt idx="9">
                  <c:v>-67</c:v>
                </c:pt>
                <c:pt idx="10">
                  <c:v>-42</c:v>
                </c:pt>
                <c:pt idx="11">
                  <c:v>0</c:v>
                </c:pt>
                <c:pt idx="12">
                  <c:v>0</c:v>
                </c:pt>
                <c:pt idx="13">
                  <c:v>5</c:v>
                </c:pt>
                <c:pt idx="14">
                  <c:v>5</c:v>
                </c:pt>
                <c:pt idx="15">
                  <c:v>538</c:v>
                </c:pt>
                <c:pt idx="16">
                  <c:v>560</c:v>
                </c:pt>
                <c:pt idx="17">
                  <c:v>560</c:v>
                </c:pt>
                <c:pt idx="18">
                  <c:v>810</c:v>
                </c:pt>
                <c:pt idx="19">
                  <c:v>823</c:v>
                </c:pt>
                <c:pt idx="20">
                  <c:v>909</c:v>
                </c:pt>
                <c:pt idx="21">
                  <c:v>968</c:v>
                </c:pt>
                <c:pt idx="22">
                  <c:v>1223</c:v>
                </c:pt>
                <c:pt idx="23">
                  <c:v>1242</c:v>
                </c:pt>
                <c:pt idx="24">
                  <c:v>1514</c:v>
                </c:pt>
                <c:pt idx="25">
                  <c:v>2060</c:v>
                </c:pt>
                <c:pt idx="26">
                  <c:v>2379</c:v>
                </c:pt>
                <c:pt idx="27">
                  <c:v>2724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154-464E-B554-2B880DD8172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2">
                    <c:v>0</c:v>
                  </c:pt>
                  <c:pt idx="24">
                    <c:v>6.0000000000000001E-3</c:v>
                  </c:pt>
                  <c:pt idx="26">
                    <c:v>2.9999999999999997E-4</c:v>
                  </c:pt>
                  <c:pt idx="27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2">
                    <c:v>0</c:v>
                  </c:pt>
                  <c:pt idx="24">
                    <c:v>6.0000000000000001E-3</c:v>
                  </c:pt>
                  <c:pt idx="26">
                    <c:v>2.9999999999999997E-4</c:v>
                  </c:pt>
                  <c:pt idx="2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-4410</c:v>
                </c:pt>
                <c:pt idx="1">
                  <c:v>-536</c:v>
                </c:pt>
                <c:pt idx="2">
                  <c:v>-536</c:v>
                </c:pt>
                <c:pt idx="3">
                  <c:v>-326</c:v>
                </c:pt>
                <c:pt idx="4">
                  <c:v>-312</c:v>
                </c:pt>
                <c:pt idx="5">
                  <c:v>-277</c:v>
                </c:pt>
                <c:pt idx="6">
                  <c:v>-206</c:v>
                </c:pt>
                <c:pt idx="7">
                  <c:v>-178</c:v>
                </c:pt>
                <c:pt idx="8">
                  <c:v>-139</c:v>
                </c:pt>
                <c:pt idx="9">
                  <c:v>-67</c:v>
                </c:pt>
                <c:pt idx="10">
                  <c:v>-42</c:v>
                </c:pt>
                <c:pt idx="11">
                  <c:v>0</c:v>
                </c:pt>
                <c:pt idx="12">
                  <c:v>0</c:v>
                </c:pt>
                <c:pt idx="13">
                  <c:v>5</c:v>
                </c:pt>
                <c:pt idx="14">
                  <c:v>5</c:v>
                </c:pt>
                <c:pt idx="15">
                  <c:v>538</c:v>
                </c:pt>
                <c:pt idx="16">
                  <c:v>560</c:v>
                </c:pt>
                <c:pt idx="17">
                  <c:v>560</c:v>
                </c:pt>
                <c:pt idx="18">
                  <c:v>810</c:v>
                </c:pt>
                <c:pt idx="19">
                  <c:v>823</c:v>
                </c:pt>
                <c:pt idx="20">
                  <c:v>909</c:v>
                </c:pt>
                <c:pt idx="21">
                  <c:v>968</c:v>
                </c:pt>
                <c:pt idx="22">
                  <c:v>1223</c:v>
                </c:pt>
                <c:pt idx="23">
                  <c:v>1242</c:v>
                </c:pt>
                <c:pt idx="24">
                  <c:v>1514</c:v>
                </c:pt>
                <c:pt idx="25">
                  <c:v>2060</c:v>
                </c:pt>
                <c:pt idx="26">
                  <c:v>2379</c:v>
                </c:pt>
                <c:pt idx="27">
                  <c:v>2724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4">
                  <c:v>-1.9680000004882459E-2</c:v>
                </c:pt>
                <c:pt idx="25">
                  <c:v>3.3299999995506369E-2</c:v>
                </c:pt>
                <c:pt idx="26">
                  <c:v>5.281999999715481E-2</c:v>
                </c:pt>
                <c:pt idx="27">
                  <c:v>6.2619999996968545E-2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154-464E-B554-2B880DD8172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2">
                    <c:v>0</c:v>
                  </c:pt>
                  <c:pt idx="24">
                    <c:v>6.0000000000000001E-3</c:v>
                  </c:pt>
                  <c:pt idx="26">
                    <c:v>2.9999999999999997E-4</c:v>
                  </c:pt>
                  <c:pt idx="27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2">
                    <c:v>0</c:v>
                  </c:pt>
                  <c:pt idx="24">
                    <c:v>6.0000000000000001E-3</c:v>
                  </c:pt>
                  <c:pt idx="26">
                    <c:v>2.9999999999999997E-4</c:v>
                  </c:pt>
                  <c:pt idx="2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-4410</c:v>
                </c:pt>
                <c:pt idx="1">
                  <c:v>-536</c:v>
                </c:pt>
                <c:pt idx="2">
                  <c:v>-536</c:v>
                </c:pt>
                <c:pt idx="3">
                  <c:v>-326</c:v>
                </c:pt>
                <c:pt idx="4">
                  <c:v>-312</c:v>
                </c:pt>
                <c:pt idx="5">
                  <c:v>-277</c:v>
                </c:pt>
                <c:pt idx="6">
                  <c:v>-206</c:v>
                </c:pt>
                <c:pt idx="7">
                  <c:v>-178</c:v>
                </c:pt>
                <c:pt idx="8">
                  <c:v>-139</c:v>
                </c:pt>
                <c:pt idx="9">
                  <c:v>-67</c:v>
                </c:pt>
                <c:pt idx="10">
                  <c:v>-42</c:v>
                </c:pt>
                <c:pt idx="11">
                  <c:v>0</c:v>
                </c:pt>
                <c:pt idx="12">
                  <c:v>0</c:v>
                </c:pt>
                <c:pt idx="13">
                  <c:v>5</c:v>
                </c:pt>
                <c:pt idx="14">
                  <c:v>5</c:v>
                </c:pt>
                <c:pt idx="15">
                  <c:v>538</c:v>
                </c:pt>
                <c:pt idx="16">
                  <c:v>560</c:v>
                </c:pt>
                <c:pt idx="17">
                  <c:v>560</c:v>
                </c:pt>
                <c:pt idx="18">
                  <c:v>810</c:v>
                </c:pt>
                <c:pt idx="19">
                  <c:v>823</c:v>
                </c:pt>
                <c:pt idx="20">
                  <c:v>909</c:v>
                </c:pt>
                <c:pt idx="21">
                  <c:v>968</c:v>
                </c:pt>
                <c:pt idx="22">
                  <c:v>1223</c:v>
                </c:pt>
                <c:pt idx="23">
                  <c:v>1242</c:v>
                </c:pt>
                <c:pt idx="24">
                  <c:v>1514</c:v>
                </c:pt>
                <c:pt idx="25">
                  <c:v>2060</c:v>
                </c:pt>
                <c:pt idx="26">
                  <c:v>2379</c:v>
                </c:pt>
                <c:pt idx="27">
                  <c:v>2724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154-464E-B554-2B880DD8172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2">
                    <c:v>0</c:v>
                  </c:pt>
                  <c:pt idx="24">
                    <c:v>6.0000000000000001E-3</c:v>
                  </c:pt>
                  <c:pt idx="26">
                    <c:v>2.9999999999999997E-4</c:v>
                  </c:pt>
                  <c:pt idx="27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2">
                    <c:v>0</c:v>
                  </c:pt>
                  <c:pt idx="24">
                    <c:v>6.0000000000000001E-3</c:v>
                  </c:pt>
                  <c:pt idx="26">
                    <c:v>2.9999999999999997E-4</c:v>
                  </c:pt>
                  <c:pt idx="2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-4410</c:v>
                </c:pt>
                <c:pt idx="1">
                  <c:v>-536</c:v>
                </c:pt>
                <c:pt idx="2">
                  <c:v>-536</c:v>
                </c:pt>
                <c:pt idx="3">
                  <c:v>-326</c:v>
                </c:pt>
                <c:pt idx="4">
                  <c:v>-312</c:v>
                </c:pt>
                <c:pt idx="5">
                  <c:v>-277</c:v>
                </c:pt>
                <c:pt idx="6">
                  <c:v>-206</c:v>
                </c:pt>
                <c:pt idx="7">
                  <c:v>-178</c:v>
                </c:pt>
                <c:pt idx="8">
                  <c:v>-139</c:v>
                </c:pt>
                <c:pt idx="9">
                  <c:v>-67</c:v>
                </c:pt>
                <c:pt idx="10">
                  <c:v>-42</c:v>
                </c:pt>
                <c:pt idx="11">
                  <c:v>0</c:v>
                </c:pt>
                <c:pt idx="12">
                  <c:v>0</c:v>
                </c:pt>
                <c:pt idx="13">
                  <c:v>5</c:v>
                </c:pt>
                <c:pt idx="14">
                  <c:v>5</c:v>
                </c:pt>
                <c:pt idx="15">
                  <c:v>538</c:v>
                </c:pt>
                <c:pt idx="16">
                  <c:v>560</c:v>
                </c:pt>
                <c:pt idx="17">
                  <c:v>560</c:v>
                </c:pt>
                <c:pt idx="18">
                  <c:v>810</c:v>
                </c:pt>
                <c:pt idx="19">
                  <c:v>823</c:v>
                </c:pt>
                <c:pt idx="20">
                  <c:v>909</c:v>
                </c:pt>
                <c:pt idx="21">
                  <c:v>968</c:v>
                </c:pt>
                <c:pt idx="22">
                  <c:v>1223</c:v>
                </c:pt>
                <c:pt idx="23">
                  <c:v>1242</c:v>
                </c:pt>
                <c:pt idx="24">
                  <c:v>1514</c:v>
                </c:pt>
                <c:pt idx="25">
                  <c:v>2060</c:v>
                </c:pt>
                <c:pt idx="26">
                  <c:v>2379</c:v>
                </c:pt>
                <c:pt idx="27">
                  <c:v>2724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154-464E-B554-2B880DD8172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2">
                    <c:v>0</c:v>
                  </c:pt>
                  <c:pt idx="24">
                    <c:v>6.0000000000000001E-3</c:v>
                  </c:pt>
                  <c:pt idx="26">
                    <c:v>2.9999999999999997E-4</c:v>
                  </c:pt>
                  <c:pt idx="27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2">
                    <c:v>0</c:v>
                  </c:pt>
                  <c:pt idx="24">
                    <c:v>6.0000000000000001E-3</c:v>
                  </c:pt>
                  <c:pt idx="26">
                    <c:v>2.9999999999999997E-4</c:v>
                  </c:pt>
                  <c:pt idx="2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-4410</c:v>
                </c:pt>
                <c:pt idx="1">
                  <c:v>-536</c:v>
                </c:pt>
                <c:pt idx="2">
                  <c:v>-536</c:v>
                </c:pt>
                <c:pt idx="3">
                  <c:v>-326</c:v>
                </c:pt>
                <c:pt idx="4">
                  <c:v>-312</c:v>
                </c:pt>
                <c:pt idx="5">
                  <c:v>-277</c:v>
                </c:pt>
                <c:pt idx="6">
                  <c:v>-206</c:v>
                </c:pt>
                <c:pt idx="7">
                  <c:v>-178</c:v>
                </c:pt>
                <c:pt idx="8">
                  <c:v>-139</c:v>
                </c:pt>
                <c:pt idx="9">
                  <c:v>-67</c:v>
                </c:pt>
                <c:pt idx="10">
                  <c:v>-42</c:v>
                </c:pt>
                <c:pt idx="11">
                  <c:v>0</c:v>
                </c:pt>
                <c:pt idx="12">
                  <c:v>0</c:v>
                </c:pt>
                <c:pt idx="13">
                  <c:v>5</c:v>
                </c:pt>
                <c:pt idx="14">
                  <c:v>5</c:v>
                </c:pt>
                <c:pt idx="15">
                  <c:v>538</c:v>
                </c:pt>
                <c:pt idx="16">
                  <c:v>560</c:v>
                </c:pt>
                <c:pt idx="17">
                  <c:v>560</c:v>
                </c:pt>
                <c:pt idx="18">
                  <c:v>810</c:v>
                </c:pt>
                <c:pt idx="19">
                  <c:v>823</c:v>
                </c:pt>
                <c:pt idx="20">
                  <c:v>909</c:v>
                </c:pt>
                <c:pt idx="21">
                  <c:v>968</c:v>
                </c:pt>
                <c:pt idx="22">
                  <c:v>1223</c:v>
                </c:pt>
                <c:pt idx="23">
                  <c:v>1242</c:v>
                </c:pt>
                <c:pt idx="24">
                  <c:v>1514</c:v>
                </c:pt>
                <c:pt idx="25">
                  <c:v>2060</c:v>
                </c:pt>
                <c:pt idx="26">
                  <c:v>2379</c:v>
                </c:pt>
                <c:pt idx="27">
                  <c:v>2724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154-464E-B554-2B880DD8172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-4410</c:v>
                </c:pt>
                <c:pt idx="1">
                  <c:v>-536</c:v>
                </c:pt>
                <c:pt idx="2">
                  <c:v>-536</c:v>
                </c:pt>
                <c:pt idx="3">
                  <c:v>-326</c:v>
                </c:pt>
                <c:pt idx="4">
                  <c:v>-312</c:v>
                </c:pt>
                <c:pt idx="5">
                  <c:v>-277</c:v>
                </c:pt>
                <c:pt idx="6">
                  <c:v>-206</c:v>
                </c:pt>
                <c:pt idx="7">
                  <c:v>-178</c:v>
                </c:pt>
                <c:pt idx="8">
                  <c:v>-139</c:v>
                </c:pt>
                <c:pt idx="9">
                  <c:v>-67</c:v>
                </c:pt>
                <c:pt idx="10">
                  <c:v>-42</c:v>
                </c:pt>
                <c:pt idx="11">
                  <c:v>0</c:v>
                </c:pt>
                <c:pt idx="12">
                  <c:v>0</c:v>
                </c:pt>
                <c:pt idx="13">
                  <c:v>5</c:v>
                </c:pt>
                <c:pt idx="14">
                  <c:v>5</c:v>
                </c:pt>
                <c:pt idx="15">
                  <c:v>538</c:v>
                </c:pt>
                <c:pt idx="16">
                  <c:v>560</c:v>
                </c:pt>
                <c:pt idx="17">
                  <c:v>560</c:v>
                </c:pt>
                <c:pt idx="18">
                  <c:v>810</c:v>
                </c:pt>
                <c:pt idx="19">
                  <c:v>823</c:v>
                </c:pt>
                <c:pt idx="20">
                  <c:v>909</c:v>
                </c:pt>
                <c:pt idx="21">
                  <c:v>968</c:v>
                </c:pt>
                <c:pt idx="22">
                  <c:v>1223</c:v>
                </c:pt>
                <c:pt idx="23">
                  <c:v>1242</c:v>
                </c:pt>
                <c:pt idx="24">
                  <c:v>1514</c:v>
                </c:pt>
                <c:pt idx="25">
                  <c:v>2060</c:v>
                </c:pt>
                <c:pt idx="26">
                  <c:v>2379</c:v>
                </c:pt>
                <c:pt idx="27">
                  <c:v>2724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-0.28413180867834764</c:v>
                </c:pt>
                <c:pt idx="1">
                  <c:v>-0.10467555283460868</c:v>
                </c:pt>
                <c:pt idx="2">
                  <c:v>-0.10467555283460868</c:v>
                </c:pt>
                <c:pt idx="3">
                  <c:v>-9.4947671129088501E-2</c:v>
                </c:pt>
                <c:pt idx="4">
                  <c:v>-9.4299145682053831E-2</c:v>
                </c:pt>
                <c:pt idx="5">
                  <c:v>-9.2677832064467128E-2</c:v>
                </c:pt>
                <c:pt idx="6">
                  <c:v>-8.9388881583076965E-2</c:v>
                </c:pt>
                <c:pt idx="7">
                  <c:v>-8.8091830689007611E-2</c:v>
                </c:pt>
                <c:pt idx="8">
                  <c:v>-8.6285224086553869E-2</c:v>
                </c:pt>
                <c:pt idx="9">
                  <c:v>-8.294995035894695E-2</c:v>
                </c:pt>
                <c:pt idx="10">
                  <c:v>-8.1791869203527878E-2</c:v>
                </c:pt>
                <c:pt idx="11">
                  <c:v>-7.984629286242384E-2</c:v>
                </c:pt>
                <c:pt idx="12">
                  <c:v>-7.984629286242384E-2</c:v>
                </c:pt>
                <c:pt idx="13">
                  <c:v>-7.9614676631340031E-2</c:v>
                </c:pt>
                <c:pt idx="14">
                  <c:v>-7.9614676631340031E-2</c:v>
                </c:pt>
                <c:pt idx="15">
                  <c:v>-5.4924386397805475E-2</c:v>
                </c:pt>
                <c:pt idx="16">
                  <c:v>-5.3905274981036685E-2</c:v>
                </c:pt>
                <c:pt idx="17">
                  <c:v>-5.3905274981036685E-2</c:v>
                </c:pt>
                <c:pt idx="18">
                  <c:v>-4.2324463426845996E-2</c:v>
                </c:pt>
                <c:pt idx="19">
                  <c:v>-4.1722261226028082E-2</c:v>
                </c:pt>
                <c:pt idx="20">
                  <c:v>-3.7738462051386486E-2</c:v>
                </c:pt>
                <c:pt idx="21">
                  <c:v>-3.5005390524597481E-2</c:v>
                </c:pt>
                <c:pt idx="22">
                  <c:v>-2.3192962739322975E-2</c:v>
                </c:pt>
                <c:pt idx="23">
                  <c:v>-2.2312821061204482E-2</c:v>
                </c:pt>
                <c:pt idx="24">
                  <c:v>-9.7128980902450035E-3</c:v>
                </c:pt>
                <c:pt idx="25">
                  <c:v>1.5579594344107467E-2</c:v>
                </c:pt>
                <c:pt idx="26">
                  <c:v>3.0356709887254779E-2</c:v>
                </c:pt>
                <c:pt idx="27">
                  <c:v>4.6338229832037947E-2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154-464E-B554-2B880DD81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4413552"/>
        <c:axId val="1"/>
      </c:scatterChart>
      <c:valAx>
        <c:axId val="894413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0707241437752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356020942408377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44135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041903139070965"/>
          <c:y val="0.92024539877300615"/>
          <c:w val="0.85864020924086049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66674</xdr:colOff>
      <xdr:row>0</xdr:row>
      <xdr:rowOff>1</xdr:rowOff>
    </xdr:from>
    <xdr:to>
      <xdr:col>17</xdr:col>
      <xdr:colOff>152399</xdr:colOff>
      <xdr:row>17</xdr:row>
      <xdr:rowOff>152401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E4C02B7F-1C31-8B95-D6DA-27408B76BE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304800</xdr:colOff>
      <xdr:row>0</xdr:row>
      <xdr:rowOff>0</xdr:rowOff>
    </xdr:from>
    <xdr:to>
      <xdr:col>27</xdr:col>
      <xdr:colOff>9525</xdr:colOff>
      <xdr:row>18</xdr:row>
      <xdr:rowOff>19050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B39E4F4A-3D98-7D4D-B57D-AB49E36C95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konkoly.hu/cgi-bin/IBVS?5929" TargetMode="External"/><Relationship Id="rId1" Type="http://schemas.openxmlformats.org/officeDocument/2006/relationships/hyperlink" Target="http://www.bav-astro.de/sfs/BAVM_link.php?BAVMnr=1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5"/>
  <sheetViews>
    <sheetView tabSelected="1" workbookViewId="0">
      <pane xSplit="14" ySplit="22" topLeftCell="O35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5" s="5" customFormat="1" ht="20.25" x14ac:dyDescent="0.2">
      <c r="A1" s="49" t="s">
        <v>40</v>
      </c>
    </row>
    <row r="2" spans="1:5" s="5" customFormat="1" ht="12.95" customHeight="1" x14ac:dyDescent="0.2">
      <c r="A2" s="5" t="s">
        <v>24</v>
      </c>
      <c r="B2" s="9" t="s">
        <v>48</v>
      </c>
    </row>
    <row r="3" spans="1:5" s="5" customFormat="1" ht="12.95" customHeight="1" x14ac:dyDescent="0.2"/>
    <row r="4" spans="1:5" s="5" customFormat="1" ht="12.95" customHeight="1" thickTop="1" thickBot="1" x14ac:dyDescent="0.25">
      <c r="A4" s="26" t="s">
        <v>0</v>
      </c>
      <c r="C4" s="27">
        <v>40512.531000000003</v>
      </c>
      <c r="D4" s="28">
        <v>5.3606199999999999</v>
      </c>
    </row>
    <row r="5" spans="1:5" s="5" customFormat="1" ht="12.95" customHeight="1" thickTop="1" x14ac:dyDescent="0.2">
      <c r="A5" s="29" t="s">
        <v>43</v>
      </c>
      <c r="C5" s="30">
        <v>-9.5</v>
      </c>
      <c r="D5" s="5" t="s">
        <v>44</v>
      </c>
    </row>
    <row r="6" spans="1:5" s="5" customFormat="1" ht="12.95" customHeight="1" x14ac:dyDescent="0.2">
      <c r="A6" s="26" t="s">
        <v>1</v>
      </c>
    </row>
    <row r="7" spans="1:5" s="5" customFormat="1" ht="12.95" customHeight="1" x14ac:dyDescent="0.2">
      <c r="A7" s="5" t="s">
        <v>2</v>
      </c>
      <c r="C7" s="5">
        <f>+C4</f>
        <v>40512.531000000003</v>
      </c>
    </row>
    <row r="8" spans="1:5" s="5" customFormat="1" ht="12.95" customHeight="1" x14ac:dyDescent="0.2">
      <c r="A8" s="5" t="s">
        <v>3</v>
      </c>
      <c r="C8" s="5">
        <f>+D4</f>
        <v>5.3606199999999999</v>
      </c>
    </row>
    <row r="9" spans="1:5" s="5" customFormat="1" ht="12.95" customHeight="1" x14ac:dyDescent="0.2">
      <c r="A9" s="31" t="s">
        <v>49</v>
      </c>
      <c r="B9" s="32">
        <v>37</v>
      </c>
      <c r="C9" s="33" t="str">
        <f>"F"&amp;B9</f>
        <v>F37</v>
      </c>
      <c r="D9" s="34" t="str">
        <f>"G"&amp;B9</f>
        <v>G37</v>
      </c>
    </row>
    <row r="10" spans="1:5" s="5" customFormat="1" ht="12.95" customHeight="1" thickBot="1" x14ac:dyDescent="0.25">
      <c r="C10" s="35" t="s">
        <v>20</v>
      </c>
      <c r="D10" s="35" t="s">
        <v>21</v>
      </c>
    </row>
    <row r="11" spans="1:5" s="5" customFormat="1" ht="12.95" customHeight="1" x14ac:dyDescent="0.2">
      <c r="A11" s="5" t="s">
        <v>16</v>
      </c>
      <c r="C11" s="34">
        <f ca="1">INTERCEPT(INDIRECT($D$9):G992,INDIRECT($C$9):F992)</f>
        <v>-7.984629286242384E-2</v>
      </c>
      <c r="D11" s="36"/>
    </row>
    <row r="12" spans="1:5" s="5" customFormat="1" ht="12.95" customHeight="1" x14ac:dyDescent="0.2">
      <c r="A12" s="5" t="s">
        <v>17</v>
      </c>
      <c r="C12" s="34">
        <f ca="1">SLOPE(INDIRECT($D$9):G992,INDIRECT($C$9):F992)</f>
        <v>4.6323246216762768E-5</v>
      </c>
      <c r="D12" s="36"/>
    </row>
    <row r="13" spans="1:5" s="5" customFormat="1" ht="12.95" customHeight="1" x14ac:dyDescent="0.2">
      <c r="A13" s="5" t="s">
        <v>19</v>
      </c>
      <c r="C13" s="36" t="s">
        <v>14</v>
      </c>
    </row>
    <row r="14" spans="1:5" s="5" customFormat="1" ht="12.95" customHeight="1" x14ac:dyDescent="0.2"/>
    <row r="15" spans="1:5" s="5" customFormat="1" ht="12.95" customHeight="1" x14ac:dyDescent="0.2">
      <c r="A15" s="37" t="s">
        <v>18</v>
      </c>
      <c r="C15" s="38">
        <f ca="1">(C7+C11)+(C8+C12)*INT(MAX(F21:F3533))</f>
        <v>55114.906218229829</v>
      </c>
      <c r="E15" s="36"/>
    </row>
    <row r="16" spans="1:5" s="5" customFormat="1" ht="12.95" customHeight="1" x14ac:dyDescent="0.2">
      <c r="A16" s="26" t="s">
        <v>4</v>
      </c>
      <c r="C16" s="39">
        <f ca="1">+C8+C12</f>
        <v>5.3606663232462166</v>
      </c>
    </row>
    <row r="17" spans="1:17" s="5" customFormat="1" ht="12.95" customHeight="1" thickBot="1" x14ac:dyDescent="0.25">
      <c r="A17" s="40" t="s">
        <v>42</v>
      </c>
      <c r="C17" s="5">
        <f>COUNT(C21:C2191)</f>
        <v>28</v>
      </c>
      <c r="E17" s="40" t="s">
        <v>45</v>
      </c>
      <c r="F17" s="41">
        <f ca="1">TODAY()+15018.5-B5/24</f>
        <v>60376.5</v>
      </c>
    </row>
    <row r="18" spans="1:17" s="5" customFormat="1" ht="12.95" customHeight="1" thickTop="1" thickBot="1" x14ac:dyDescent="0.25">
      <c r="A18" s="26" t="s">
        <v>5</v>
      </c>
      <c r="C18" s="27">
        <f ca="1">+C15</f>
        <v>55114.906218229829</v>
      </c>
      <c r="D18" s="28">
        <f ca="1">+C16</f>
        <v>5.3606663232462166</v>
      </c>
      <c r="E18" s="40" t="s">
        <v>46</v>
      </c>
      <c r="F18" s="41">
        <f ca="1">ROUND(2*(F17-C15)/C16,0)/2+1</f>
        <v>982.5</v>
      </c>
    </row>
    <row r="19" spans="1:17" s="5" customFormat="1" ht="12.95" customHeight="1" thickTop="1" x14ac:dyDescent="0.2">
      <c r="E19" s="40" t="s">
        <v>47</v>
      </c>
      <c r="F19" s="42">
        <f ca="1">+C15+C16*F18-15018.5-C5/24</f>
        <v>45363.656714152574</v>
      </c>
    </row>
    <row r="20" spans="1:17" s="5" customFormat="1" ht="12.95" customHeight="1" thickBot="1" x14ac:dyDescent="0.25">
      <c r="A20" s="35" t="s">
        <v>6</v>
      </c>
      <c r="B20" s="35" t="s">
        <v>7</v>
      </c>
      <c r="C20" s="35" t="s">
        <v>8</v>
      </c>
      <c r="D20" s="35" t="s">
        <v>13</v>
      </c>
      <c r="E20" s="35" t="s">
        <v>9</v>
      </c>
      <c r="F20" s="35" t="s">
        <v>10</v>
      </c>
      <c r="G20" s="35" t="s">
        <v>11</v>
      </c>
      <c r="H20" s="43" t="s">
        <v>12</v>
      </c>
      <c r="I20" s="43" t="s">
        <v>164</v>
      </c>
      <c r="J20" s="43" t="s">
        <v>55</v>
      </c>
      <c r="K20" s="43" t="s">
        <v>53</v>
      </c>
      <c r="L20" s="43" t="s">
        <v>25</v>
      </c>
      <c r="M20" s="43" t="s">
        <v>26</v>
      </c>
      <c r="N20" s="43" t="s">
        <v>27</v>
      </c>
      <c r="O20" s="43" t="s">
        <v>23</v>
      </c>
      <c r="P20" s="44" t="s">
        <v>22</v>
      </c>
      <c r="Q20" s="35" t="s">
        <v>15</v>
      </c>
    </row>
    <row r="21" spans="1:17" s="5" customFormat="1" ht="12.95" customHeight="1" x14ac:dyDescent="0.2">
      <c r="A21" s="45" t="s">
        <v>67</v>
      </c>
      <c r="B21" s="46" t="s">
        <v>163</v>
      </c>
      <c r="C21" s="45">
        <v>16872.215</v>
      </c>
      <c r="D21" s="47"/>
      <c r="E21" s="5">
        <f t="shared" ref="E21:E48" si="0">+(C21-C$7)/C$8</f>
        <v>-4409.9966048703327</v>
      </c>
      <c r="F21" s="5">
        <f t="shared" ref="F21:F48" si="1">ROUND(2*E21,0)/2</f>
        <v>-4410</v>
      </c>
      <c r="G21" s="5">
        <f t="shared" ref="G21:G37" si="2">+C21-(C$7+F21*C$8)</f>
        <v>1.8199999998614658E-2</v>
      </c>
      <c r="I21" s="5">
        <f>+G21</f>
        <v>1.8199999998614658E-2</v>
      </c>
      <c r="O21" s="5">
        <f t="shared" ref="O21:O48" ca="1" si="3">+C$11+C$12*$F21</f>
        <v>-0.28413180867834764</v>
      </c>
      <c r="Q21" s="48">
        <f t="shared" ref="Q21:Q48" si="4">+C21-15018.5</f>
        <v>1853.7150000000001</v>
      </c>
    </row>
    <row r="22" spans="1:17" s="5" customFormat="1" ht="12.95" customHeight="1" x14ac:dyDescent="0.2">
      <c r="A22" s="45" t="s">
        <v>67</v>
      </c>
      <c r="B22" s="46" t="s">
        <v>163</v>
      </c>
      <c r="C22" s="45">
        <v>37639.360000000001</v>
      </c>
      <c r="D22" s="47"/>
      <c r="E22" s="5">
        <f t="shared" si="0"/>
        <v>-535.97736828948928</v>
      </c>
      <c r="F22" s="5">
        <f t="shared" si="1"/>
        <v>-536</v>
      </c>
      <c r="G22" s="5">
        <f t="shared" si="2"/>
        <v>0.12131999999837717</v>
      </c>
      <c r="I22" s="5">
        <f>+G22</f>
        <v>0.12131999999837717</v>
      </c>
      <c r="O22" s="5">
        <f t="shared" ca="1" si="3"/>
        <v>-0.10467555283460868</v>
      </c>
      <c r="Q22" s="48">
        <f t="shared" si="4"/>
        <v>22620.86</v>
      </c>
    </row>
    <row r="23" spans="1:17" s="5" customFormat="1" ht="12.95" customHeight="1" x14ac:dyDescent="0.2">
      <c r="A23" s="45" t="s">
        <v>67</v>
      </c>
      <c r="B23" s="46" t="s">
        <v>163</v>
      </c>
      <c r="C23" s="45">
        <v>37639.447999999997</v>
      </c>
      <c r="D23" s="47"/>
      <c r="E23" s="5">
        <f t="shared" si="0"/>
        <v>-535.96095227790931</v>
      </c>
      <c r="F23" s="5">
        <f t="shared" si="1"/>
        <v>-536</v>
      </c>
      <c r="G23" s="5">
        <f t="shared" si="2"/>
        <v>0.20931999999447726</v>
      </c>
      <c r="I23" s="5">
        <f>+G23</f>
        <v>0.20931999999447726</v>
      </c>
      <c r="O23" s="5">
        <f t="shared" ca="1" si="3"/>
        <v>-0.10467555283460868</v>
      </c>
      <c r="Q23" s="48">
        <f t="shared" si="4"/>
        <v>22620.947999999997</v>
      </c>
    </row>
    <row r="24" spans="1:17" x14ac:dyDescent="0.2">
      <c r="A24" s="24" t="s">
        <v>67</v>
      </c>
      <c r="B24" s="25" t="s">
        <v>163</v>
      </c>
      <c r="C24" s="24">
        <v>38765.207999999999</v>
      </c>
      <c r="D24" s="8"/>
      <c r="E24">
        <f t="shared" si="0"/>
        <v>-325.95539321944176</v>
      </c>
      <c r="F24">
        <f t="shared" si="1"/>
        <v>-326</v>
      </c>
      <c r="G24">
        <f t="shared" si="2"/>
        <v>0.23911999999836553</v>
      </c>
      <c r="I24">
        <f>+G24</f>
        <v>0.23911999999836553</v>
      </c>
      <c r="O24">
        <f t="shared" ca="1" si="3"/>
        <v>-9.4947671129088501E-2</v>
      </c>
      <c r="Q24" s="1">
        <f t="shared" si="4"/>
        <v>23746.707999999999</v>
      </c>
    </row>
    <row r="25" spans="1:17" x14ac:dyDescent="0.2">
      <c r="A25" s="24" t="s">
        <v>67</v>
      </c>
      <c r="B25" s="25" t="s">
        <v>163</v>
      </c>
      <c r="C25" s="24">
        <v>38840.266000000003</v>
      </c>
      <c r="D25" s="8"/>
      <c r="E25">
        <f t="shared" si="0"/>
        <v>-311.95365461457806</v>
      </c>
      <c r="F25">
        <f t="shared" si="1"/>
        <v>-312</v>
      </c>
      <c r="G25">
        <f t="shared" si="2"/>
        <v>0.24844000000302913</v>
      </c>
      <c r="I25">
        <f>+G25</f>
        <v>0.24844000000302913</v>
      </c>
      <c r="O25">
        <f t="shared" ca="1" si="3"/>
        <v>-9.4299145682053831E-2</v>
      </c>
      <c r="Q25" s="1">
        <f t="shared" si="4"/>
        <v>23821.766000000003</v>
      </c>
    </row>
    <row r="26" spans="1:17" x14ac:dyDescent="0.2">
      <c r="A26" s="24" t="s">
        <v>67</v>
      </c>
      <c r="B26" s="25" t="s">
        <v>163</v>
      </c>
      <c r="C26" s="24">
        <v>39027.502999999997</v>
      </c>
      <c r="D26" s="2"/>
      <c r="E26">
        <f t="shared" si="0"/>
        <v>-277.02541870156915</v>
      </c>
      <c r="F26">
        <f t="shared" si="1"/>
        <v>-277</v>
      </c>
      <c r="G26">
        <f t="shared" si="2"/>
        <v>-0.13626000000658678</v>
      </c>
      <c r="I26">
        <f>+G26</f>
        <v>-0.13626000000658678</v>
      </c>
      <c r="O26">
        <f t="shared" ca="1" si="3"/>
        <v>-9.2677832064467128E-2</v>
      </c>
      <c r="Q26" s="1">
        <f t="shared" si="4"/>
        <v>24009.002999999997</v>
      </c>
    </row>
    <row r="27" spans="1:17" x14ac:dyDescent="0.2">
      <c r="A27" s="24" t="s">
        <v>67</v>
      </c>
      <c r="B27" s="25" t="s">
        <v>163</v>
      </c>
      <c r="C27" s="24">
        <v>39408.413999999997</v>
      </c>
      <c r="D27" s="2"/>
      <c r="E27">
        <f t="shared" si="0"/>
        <v>-205.9681529375344</v>
      </c>
      <c r="F27">
        <f t="shared" si="1"/>
        <v>-206</v>
      </c>
      <c r="G27">
        <f t="shared" si="2"/>
        <v>0.17071999999461696</v>
      </c>
      <c r="I27">
        <f>+G27</f>
        <v>0.17071999999461696</v>
      </c>
      <c r="O27">
        <f t="shared" ca="1" si="3"/>
        <v>-8.9388881583076965E-2</v>
      </c>
      <c r="Q27" s="1">
        <f t="shared" si="4"/>
        <v>24389.913999999997</v>
      </c>
    </row>
    <row r="28" spans="1:17" x14ac:dyDescent="0.2">
      <c r="A28" s="24" t="s">
        <v>67</v>
      </c>
      <c r="B28" s="25" t="s">
        <v>163</v>
      </c>
      <c r="C28" s="24">
        <v>39558.239000000001</v>
      </c>
      <c r="D28" s="2"/>
      <c r="E28">
        <f t="shared" si="0"/>
        <v>-178.018960493376</v>
      </c>
      <c r="F28">
        <f t="shared" si="1"/>
        <v>-178</v>
      </c>
      <c r="G28">
        <f t="shared" si="2"/>
        <v>-0.10164000000077067</v>
      </c>
      <c r="I28">
        <f>+G28</f>
        <v>-0.10164000000077067</v>
      </c>
      <c r="O28">
        <f t="shared" ca="1" si="3"/>
        <v>-8.8091830689007611E-2</v>
      </c>
      <c r="Q28" s="1">
        <f t="shared" si="4"/>
        <v>24539.739000000001</v>
      </c>
    </row>
    <row r="29" spans="1:17" x14ac:dyDescent="0.2">
      <c r="A29" s="24" t="s">
        <v>67</v>
      </c>
      <c r="B29" s="25" t="s">
        <v>163</v>
      </c>
      <c r="C29" s="24">
        <v>39767.487000000001</v>
      </c>
      <c r="D29" s="2"/>
      <c r="E29">
        <f t="shared" si="0"/>
        <v>-138.98466968373094</v>
      </c>
      <c r="F29">
        <f t="shared" si="1"/>
        <v>-139</v>
      </c>
      <c r="G29">
        <f t="shared" si="2"/>
        <v>8.2179999997606501E-2</v>
      </c>
      <c r="I29">
        <f>+G29</f>
        <v>8.2179999997606501E-2</v>
      </c>
      <c r="O29">
        <f t="shared" ca="1" si="3"/>
        <v>-8.6285224086553869E-2</v>
      </c>
      <c r="Q29" s="1">
        <f t="shared" si="4"/>
        <v>24748.987000000001</v>
      </c>
    </row>
    <row r="30" spans="1:17" x14ac:dyDescent="0.2">
      <c r="A30" s="24" t="s">
        <v>67</v>
      </c>
      <c r="B30" s="25" t="s">
        <v>163</v>
      </c>
      <c r="C30" s="24">
        <v>40153.493999999999</v>
      </c>
      <c r="D30" s="2"/>
      <c r="E30">
        <f t="shared" si="0"/>
        <v>-66.976767612702247</v>
      </c>
      <c r="F30">
        <f t="shared" si="1"/>
        <v>-67</v>
      </c>
      <c r="G30">
        <f t="shared" si="2"/>
        <v>0.12453999999706866</v>
      </c>
      <c r="I30">
        <f>+G30</f>
        <v>0.12453999999706866</v>
      </c>
      <c r="O30">
        <f t="shared" ca="1" si="3"/>
        <v>-8.294995035894695E-2</v>
      </c>
      <c r="Q30" s="1">
        <f t="shared" si="4"/>
        <v>25134.993999999999</v>
      </c>
    </row>
    <row r="31" spans="1:17" x14ac:dyDescent="0.2">
      <c r="A31" s="24" t="s">
        <v>67</v>
      </c>
      <c r="B31" s="25" t="s">
        <v>163</v>
      </c>
      <c r="C31" s="24">
        <v>40287.233</v>
      </c>
      <c r="D31" s="2"/>
      <c r="E31">
        <f t="shared" si="0"/>
        <v>-42.028347467271047</v>
      </c>
      <c r="F31">
        <f t="shared" si="1"/>
        <v>-42</v>
      </c>
      <c r="G31">
        <f t="shared" si="2"/>
        <v>-0.15196000000287313</v>
      </c>
      <c r="I31">
        <f>+G31</f>
        <v>-0.15196000000287313</v>
      </c>
      <c r="O31">
        <f t="shared" ca="1" si="3"/>
        <v>-8.1791869203527878E-2</v>
      </c>
      <c r="Q31" s="1">
        <f t="shared" si="4"/>
        <v>25268.733</v>
      </c>
    </row>
    <row r="32" spans="1:17" x14ac:dyDescent="0.2">
      <c r="A32" s="24" t="s">
        <v>67</v>
      </c>
      <c r="B32" s="25" t="s">
        <v>163</v>
      </c>
      <c r="C32" s="24">
        <v>40512.504000000001</v>
      </c>
      <c r="D32" s="2"/>
      <c r="E32">
        <f t="shared" si="0"/>
        <v>-5.0367308262593965E-3</v>
      </c>
      <c r="F32">
        <f t="shared" si="1"/>
        <v>0</v>
      </c>
      <c r="G32">
        <f t="shared" si="2"/>
        <v>-2.7000000001862645E-2</v>
      </c>
      <c r="I32">
        <f>+G32</f>
        <v>-2.7000000001862645E-2</v>
      </c>
      <c r="O32">
        <f t="shared" ca="1" si="3"/>
        <v>-7.984629286242384E-2</v>
      </c>
      <c r="Q32" s="1">
        <f t="shared" si="4"/>
        <v>25494.004000000001</v>
      </c>
    </row>
    <row r="33" spans="1:31" x14ac:dyDescent="0.2">
      <c r="A33" t="s">
        <v>12</v>
      </c>
      <c r="C33" s="8">
        <v>40512.531000000003</v>
      </c>
      <c r="D33" s="8" t="s">
        <v>14</v>
      </c>
      <c r="E33">
        <f t="shared" si="0"/>
        <v>0</v>
      </c>
      <c r="F33">
        <f t="shared" si="1"/>
        <v>0</v>
      </c>
      <c r="G33">
        <f t="shared" si="2"/>
        <v>0</v>
      </c>
      <c r="H33">
        <f>+G33</f>
        <v>0</v>
      </c>
      <c r="O33">
        <f t="shared" ca="1" si="3"/>
        <v>-7.984629286242384E-2</v>
      </c>
      <c r="Q33" s="1">
        <f t="shared" si="4"/>
        <v>25494.031000000003</v>
      </c>
    </row>
    <row r="34" spans="1:31" x14ac:dyDescent="0.2">
      <c r="A34" s="24" t="s">
        <v>67</v>
      </c>
      <c r="B34" s="25" t="s">
        <v>163</v>
      </c>
      <c r="C34" s="24">
        <v>40539.483999999997</v>
      </c>
      <c r="D34" s="2"/>
      <c r="E34">
        <f t="shared" si="0"/>
        <v>5.0279631833620106</v>
      </c>
      <c r="F34">
        <f t="shared" si="1"/>
        <v>5</v>
      </c>
      <c r="G34">
        <f t="shared" si="2"/>
        <v>0.14989999999670545</v>
      </c>
      <c r="I34">
        <f>+G34</f>
        <v>0.14989999999670545</v>
      </c>
      <c r="O34">
        <f t="shared" ca="1" si="3"/>
        <v>-7.9614676631340031E-2</v>
      </c>
      <c r="Q34" s="1">
        <f t="shared" si="4"/>
        <v>25520.983999999997</v>
      </c>
    </row>
    <row r="35" spans="1:31" x14ac:dyDescent="0.2">
      <c r="A35" s="24" t="s">
        <v>67</v>
      </c>
      <c r="B35" s="25" t="s">
        <v>163</v>
      </c>
      <c r="C35" s="24">
        <v>40539.517</v>
      </c>
      <c r="D35" s="2"/>
      <c r="E35">
        <f t="shared" si="0"/>
        <v>5.0341191877053673</v>
      </c>
      <c r="F35">
        <f t="shared" si="1"/>
        <v>5</v>
      </c>
      <c r="G35">
        <f t="shared" si="2"/>
        <v>0.18289999999979045</v>
      </c>
      <c r="I35">
        <f>+G35</f>
        <v>0.18289999999979045</v>
      </c>
      <c r="O35">
        <f t="shared" ca="1" si="3"/>
        <v>-7.9614676631340031E-2</v>
      </c>
      <c r="Q35" s="1">
        <f t="shared" si="4"/>
        <v>25521.017</v>
      </c>
    </row>
    <row r="36" spans="1:31" x14ac:dyDescent="0.2">
      <c r="A36" t="s">
        <v>29</v>
      </c>
      <c r="C36" s="8">
        <v>43396.548000000003</v>
      </c>
      <c r="D36" s="8"/>
      <c r="E36">
        <f t="shared" si="0"/>
        <v>538.00064171681629</v>
      </c>
      <c r="F36">
        <f t="shared" si="1"/>
        <v>538</v>
      </c>
      <c r="G36">
        <f t="shared" si="2"/>
        <v>3.4400000004097819E-3</v>
      </c>
      <c r="I36">
        <f>+G36</f>
        <v>3.4400000004097819E-3</v>
      </c>
      <c r="O36">
        <f t="shared" ca="1" si="3"/>
        <v>-5.4924386397805475E-2</v>
      </c>
      <c r="Q36" s="1">
        <f t="shared" si="4"/>
        <v>28378.048000000003</v>
      </c>
      <c r="AA36">
        <v>6</v>
      </c>
      <c r="AC36" t="s">
        <v>28</v>
      </c>
      <c r="AE36" t="s">
        <v>30</v>
      </c>
    </row>
    <row r="37" spans="1:31" x14ac:dyDescent="0.2">
      <c r="A37" s="24" t="s">
        <v>116</v>
      </c>
      <c r="B37" s="25" t="s">
        <v>163</v>
      </c>
      <c r="C37" s="24">
        <v>43514.489000000001</v>
      </c>
      <c r="E37">
        <f t="shared" si="0"/>
        <v>560.00201469233014</v>
      </c>
      <c r="F37">
        <f t="shared" si="1"/>
        <v>560</v>
      </c>
      <c r="G37">
        <f t="shared" si="2"/>
        <v>1.0799999996379483E-2</v>
      </c>
      <c r="I37">
        <f>+G37</f>
        <v>1.0799999996379483E-2</v>
      </c>
      <c r="O37">
        <f t="shared" ca="1" si="3"/>
        <v>-5.3905274981036685E-2</v>
      </c>
      <c r="Q37" s="1">
        <f t="shared" si="4"/>
        <v>28495.989000000001</v>
      </c>
    </row>
    <row r="38" spans="1:31" x14ac:dyDescent="0.2">
      <c r="A38" t="s">
        <v>31</v>
      </c>
      <c r="B38" s="4" t="s">
        <v>39</v>
      </c>
      <c r="C38" s="8">
        <v>43515.409</v>
      </c>
      <c r="D38" s="8"/>
      <c r="E38">
        <f t="shared" si="0"/>
        <v>560.17363663158312</v>
      </c>
      <c r="F38">
        <f t="shared" si="1"/>
        <v>560</v>
      </c>
      <c r="I38" s="4">
        <v>0.93079999999463325</v>
      </c>
      <c r="O38">
        <f t="shared" ca="1" si="3"/>
        <v>-5.3905274981036685E-2</v>
      </c>
      <c r="Q38" s="1">
        <f t="shared" si="4"/>
        <v>28496.909</v>
      </c>
      <c r="AA38">
        <v>10</v>
      </c>
      <c r="AC38" t="s">
        <v>28</v>
      </c>
      <c r="AE38" t="s">
        <v>30</v>
      </c>
    </row>
    <row r="39" spans="1:31" x14ac:dyDescent="0.2">
      <c r="A39" t="s">
        <v>32</v>
      </c>
      <c r="C39" s="8">
        <v>44854.62</v>
      </c>
      <c r="D39" s="8"/>
      <c r="E39">
        <f t="shared" si="0"/>
        <v>809.99753759826285</v>
      </c>
      <c r="F39">
        <f t="shared" si="1"/>
        <v>810</v>
      </c>
      <c r="G39">
        <f t="shared" ref="G39:G48" si="5">+C39-(C$7+F39*C$8)</f>
        <v>-1.3200000001234002E-2</v>
      </c>
      <c r="I39">
        <f t="shared" ref="I39:I45" si="6">+G39</f>
        <v>-1.3200000001234002E-2</v>
      </c>
      <c r="O39">
        <f t="shared" ca="1" si="3"/>
        <v>-4.2324463426845996E-2</v>
      </c>
      <c r="Q39" s="1">
        <f t="shared" si="4"/>
        <v>29836.120000000003</v>
      </c>
      <c r="AA39">
        <v>8</v>
      </c>
      <c r="AC39" t="s">
        <v>28</v>
      </c>
      <c r="AE39" t="s">
        <v>30</v>
      </c>
    </row>
    <row r="40" spans="1:31" x14ac:dyDescent="0.2">
      <c r="A40" t="s">
        <v>33</v>
      </c>
      <c r="C40" s="8">
        <v>44924.303999999996</v>
      </c>
      <c r="D40" s="8"/>
      <c r="E40">
        <f t="shared" si="0"/>
        <v>822.99678022318199</v>
      </c>
      <c r="F40">
        <f t="shared" si="1"/>
        <v>823</v>
      </c>
      <c r="G40">
        <f t="shared" si="5"/>
        <v>-1.726000000780914E-2</v>
      </c>
      <c r="I40">
        <f t="shared" si="6"/>
        <v>-1.726000000780914E-2</v>
      </c>
      <c r="O40">
        <f t="shared" ca="1" si="3"/>
        <v>-4.1722261226028082E-2</v>
      </c>
      <c r="Q40" s="1">
        <f t="shared" si="4"/>
        <v>29905.803999999996</v>
      </c>
      <c r="AA40">
        <v>6</v>
      </c>
      <c r="AC40" t="s">
        <v>28</v>
      </c>
      <c r="AE40" t="s">
        <v>30</v>
      </c>
    </row>
    <row r="41" spans="1:31" x14ac:dyDescent="0.2">
      <c r="A41" t="s">
        <v>34</v>
      </c>
      <c r="C41" s="8">
        <v>45385.307999999997</v>
      </c>
      <c r="D41" s="8"/>
      <c r="E41">
        <f t="shared" si="0"/>
        <v>908.99504161831931</v>
      </c>
      <c r="F41">
        <f t="shared" si="1"/>
        <v>909</v>
      </c>
      <c r="G41">
        <f t="shared" si="5"/>
        <v>-2.658000000519678E-2</v>
      </c>
      <c r="I41">
        <f t="shared" si="6"/>
        <v>-2.658000000519678E-2</v>
      </c>
      <c r="O41">
        <f t="shared" ca="1" si="3"/>
        <v>-3.7738462051386486E-2</v>
      </c>
      <c r="Q41" s="1">
        <f t="shared" si="4"/>
        <v>30366.807999999997</v>
      </c>
      <c r="AA41">
        <v>4</v>
      </c>
      <c r="AC41" t="s">
        <v>28</v>
      </c>
      <c r="AE41" t="s">
        <v>30</v>
      </c>
    </row>
    <row r="42" spans="1:31" x14ac:dyDescent="0.2">
      <c r="A42" t="s">
        <v>35</v>
      </c>
      <c r="C42" s="8">
        <v>45701.544999999998</v>
      </c>
      <c r="D42" s="8"/>
      <c r="E42">
        <f t="shared" si="0"/>
        <v>967.98765814401986</v>
      </c>
      <c r="F42">
        <f t="shared" si="1"/>
        <v>968</v>
      </c>
      <c r="G42">
        <f t="shared" si="5"/>
        <v>-6.6160000002128072E-2</v>
      </c>
      <c r="I42">
        <f t="shared" si="6"/>
        <v>-6.6160000002128072E-2</v>
      </c>
      <c r="O42">
        <f t="shared" ca="1" si="3"/>
        <v>-3.5005390524597481E-2</v>
      </c>
      <c r="Q42" s="1">
        <f t="shared" si="4"/>
        <v>30683.044999999998</v>
      </c>
      <c r="AA42">
        <v>5</v>
      </c>
      <c r="AC42" t="s">
        <v>28</v>
      </c>
      <c r="AE42" t="s">
        <v>30</v>
      </c>
    </row>
    <row r="43" spans="1:31" x14ac:dyDescent="0.2">
      <c r="A43" t="s">
        <v>36</v>
      </c>
      <c r="C43" s="8">
        <v>47068.51</v>
      </c>
      <c r="D43" s="8"/>
      <c r="E43">
        <f t="shared" si="0"/>
        <v>1222.988945308565</v>
      </c>
      <c r="F43">
        <f t="shared" si="1"/>
        <v>1223</v>
      </c>
      <c r="G43">
        <f t="shared" si="5"/>
        <v>-5.9260000001813751E-2</v>
      </c>
      <c r="I43">
        <f t="shared" si="6"/>
        <v>-5.9260000001813751E-2</v>
      </c>
      <c r="O43">
        <f t="shared" ca="1" si="3"/>
        <v>-2.3192962739322975E-2</v>
      </c>
      <c r="Q43" s="1">
        <f t="shared" si="4"/>
        <v>32050.010000000002</v>
      </c>
      <c r="AA43">
        <v>6</v>
      </c>
      <c r="AC43" t="s">
        <v>28</v>
      </c>
      <c r="AE43" t="s">
        <v>30</v>
      </c>
    </row>
    <row r="44" spans="1:31" x14ac:dyDescent="0.2">
      <c r="A44" t="s">
        <v>37</v>
      </c>
      <c r="C44" s="8">
        <v>47170.29</v>
      </c>
      <c r="D44" s="8"/>
      <c r="E44">
        <f t="shared" si="0"/>
        <v>1241.9755550663913</v>
      </c>
      <c r="F44">
        <f t="shared" si="1"/>
        <v>1242</v>
      </c>
      <c r="G44">
        <f t="shared" si="5"/>
        <v>-0.13104000000021188</v>
      </c>
      <c r="I44">
        <f t="shared" si="6"/>
        <v>-0.13104000000021188</v>
      </c>
      <c r="O44">
        <f t="shared" ca="1" si="3"/>
        <v>-2.2312821061204482E-2</v>
      </c>
      <c r="Q44" s="1">
        <f t="shared" si="4"/>
        <v>32151.79</v>
      </c>
      <c r="AA44">
        <v>5</v>
      </c>
      <c r="AC44" t="s">
        <v>28</v>
      </c>
      <c r="AE44" t="s">
        <v>30</v>
      </c>
    </row>
    <row r="45" spans="1:31" x14ac:dyDescent="0.2">
      <c r="A45" t="s">
        <v>38</v>
      </c>
      <c r="C45" s="8">
        <v>48628.49</v>
      </c>
      <c r="D45" s="8">
        <v>6.0000000000000001E-3</v>
      </c>
      <c r="E45">
        <f t="shared" si="0"/>
        <v>1513.9963287828639</v>
      </c>
      <c r="F45">
        <f t="shared" si="1"/>
        <v>1514</v>
      </c>
      <c r="G45">
        <f t="shared" si="5"/>
        <v>-1.9680000004882459E-2</v>
      </c>
      <c r="K45">
        <f>+G45</f>
        <v>-1.9680000004882459E-2</v>
      </c>
      <c r="O45">
        <f t="shared" ca="1" si="3"/>
        <v>-9.7128980902450035E-3</v>
      </c>
      <c r="Q45" s="1">
        <f t="shared" si="4"/>
        <v>33609.99</v>
      </c>
      <c r="AA45">
        <v>11</v>
      </c>
      <c r="AC45" t="s">
        <v>28</v>
      </c>
      <c r="AE45" t="s">
        <v>30</v>
      </c>
    </row>
    <row r="46" spans="1:31" x14ac:dyDescent="0.2">
      <c r="A46" s="24" t="s">
        <v>150</v>
      </c>
      <c r="B46" s="25" t="s">
        <v>163</v>
      </c>
      <c r="C46" s="24">
        <v>51555.441500000001</v>
      </c>
      <c r="E46">
        <f t="shared" si="0"/>
        <v>2060.0062119680183</v>
      </c>
      <c r="F46">
        <f t="shared" si="1"/>
        <v>2060</v>
      </c>
      <c r="G46">
        <f t="shared" si="5"/>
        <v>3.3299999995506369E-2</v>
      </c>
      <c r="K46">
        <f>+G46</f>
        <v>3.3299999995506369E-2</v>
      </c>
      <c r="O46">
        <f t="shared" ca="1" si="3"/>
        <v>1.5579594344107467E-2</v>
      </c>
      <c r="Q46" s="1">
        <f t="shared" si="4"/>
        <v>36536.941500000001</v>
      </c>
    </row>
    <row r="47" spans="1:31" x14ac:dyDescent="0.2">
      <c r="A47" s="5" t="s">
        <v>41</v>
      </c>
      <c r="B47" s="6"/>
      <c r="C47" s="8">
        <v>53265.498800000001</v>
      </c>
      <c r="D47" s="8">
        <v>2.9999999999999997E-4</v>
      </c>
      <c r="E47">
        <f t="shared" si="0"/>
        <v>2379.00985333786</v>
      </c>
      <c r="F47">
        <f t="shared" si="1"/>
        <v>2379</v>
      </c>
      <c r="G47">
        <f t="shared" si="5"/>
        <v>5.281999999715481E-2</v>
      </c>
      <c r="K47">
        <f>+G47</f>
        <v>5.281999999715481E-2</v>
      </c>
      <c r="O47">
        <f t="shared" ca="1" si="3"/>
        <v>3.0356709887254779E-2</v>
      </c>
      <c r="Q47" s="1">
        <f t="shared" si="4"/>
        <v>38246.998800000001</v>
      </c>
    </row>
    <row r="48" spans="1:31" x14ac:dyDescent="0.2">
      <c r="A48" s="3" t="s">
        <v>50</v>
      </c>
      <c r="C48" s="8">
        <v>55114.922500000001</v>
      </c>
      <c r="D48" s="8">
        <v>2.0000000000000001E-4</v>
      </c>
      <c r="E48">
        <f t="shared" si="0"/>
        <v>2724.0116814846042</v>
      </c>
      <c r="F48">
        <f t="shared" si="1"/>
        <v>2724</v>
      </c>
      <c r="G48">
        <f t="shared" si="5"/>
        <v>6.2619999996968545E-2</v>
      </c>
      <c r="K48">
        <f>+G48</f>
        <v>6.2619999996968545E-2</v>
      </c>
      <c r="O48">
        <f t="shared" ca="1" si="3"/>
        <v>4.6338229832037947E-2</v>
      </c>
      <c r="Q48" s="1">
        <f t="shared" si="4"/>
        <v>40096.422500000001</v>
      </c>
      <c r="AC48" s="50" t="s">
        <v>165</v>
      </c>
    </row>
    <row r="49" spans="2:2" x14ac:dyDescent="0.2">
      <c r="B49" s="2"/>
    </row>
    <row r="50" spans="2:2" x14ac:dyDescent="0.2">
      <c r="B50" s="2"/>
    </row>
    <row r="51" spans="2:2" x14ac:dyDescent="0.2">
      <c r="B51" s="2"/>
    </row>
    <row r="52" spans="2:2" x14ac:dyDescent="0.2">
      <c r="B52" s="2"/>
    </row>
    <row r="53" spans="2:2" x14ac:dyDescent="0.2">
      <c r="B53" s="2"/>
    </row>
    <row r="54" spans="2:2" x14ac:dyDescent="0.2">
      <c r="B54" s="2"/>
    </row>
    <row r="55" spans="2:2" x14ac:dyDescent="0.2">
      <c r="B55" s="2"/>
    </row>
    <row r="56" spans="2:2" x14ac:dyDescent="0.2">
      <c r="B56" s="2"/>
    </row>
    <row r="57" spans="2:2" x14ac:dyDescent="0.2">
      <c r="B57" s="2"/>
    </row>
    <row r="58" spans="2:2" x14ac:dyDescent="0.2">
      <c r="B58" s="2"/>
    </row>
    <row r="59" spans="2:2" x14ac:dyDescent="0.2">
      <c r="B59" s="2"/>
    </row>
    <row r="60" spans="2:2" x14ac:dyDescent="0.2">
      <c r="B60" s="2"/>
    </row>
    <row r="61" spans="2:2" x14ac:dyDescent="0.2">
      <c r="B61" s="2"/>
    </row>
    <row r="62" spans="2:2" x14ac:dyDescent="0.2">
      <c r="B62" s="2"/>
    </row>
    <row r="63" spans="2:2" x14ac:dyDescent="0.2">
      <c r="B63" s="2"/>
    </row>
    <row r="64" spans="2:2" x14ac:dyDescent="0.2">
      <c r="B64" s="2"/>
    </row>
    <row r="65" spans="2:2" x14ac:dyDescent="0.2">
      <c r="B65" s="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0"/>
  <sheetViews>
    <sheetView workbookViewId="0">
      <selection activeCell="A21" sqref="A21:C36"/>
    </sheetView>
  </sheetViews>
  <sheetFormatPr defaultRowHeight="12.75" x14ac:dyDescent="0.2"/>
  <cols>
    <col min="1" max="1" width="19.7109375" style="11" customWidth="1"/>
    <col min="2" max="2" width="4.42578125" style="7" customWidth="1"/>
    <col min="3" max="3" width="12.7109375" style="11" customWidth="1"/>
    <col min="4" max="4" width="5.42578125" style="7" customWidth="1"/>
    <col min="5" max="5" width="14.85546875" style="7" customWidth="1"/>
    <col min="6" max="6" width="9.140625" style="7"/>
    <col min="7" max="7" width="12" style="7" customWidth="1"/>
    <col min="8" max="8" width="14.140625" style="11" customWidth="1"/>
    <col min="9" max="9" width="22.5703125" style="7" customWidth="1"/>
    <col min="10" max="10" width="25.140625" style="7" customWidth="1"/>
    <col min="11" max="11" width="15.7109375" style="7" customWidth="1"/>
    <col min="12" max="12" width="14.140625" style="7" customWidth="1"/>
    <col min="13" max="13" width="9.5703125" style="7" customWidth="1"/>
    <col min="14" max="14" width="14.140625" style="7" customWidth="1"/>
    <col min="15" max="15" width="23.42578125" style="7" customWidth="1"/>
    <col min="16" max="16" width="16.5703125" style="7" customWidth="1"/>
    <col min="17" max="17" width="41" style="7" customWidth="1"/>
    <col min="18" max="16384" width="9.140625" style="7"/>
  </cols>
  <sheetData>
    <row r="1" spans="1:16" ht="15.75" x14ac:dyDescent="0.25">
      <c r="A1" s="10" t="s">
        <v>51</v>
      </c>
      <c r="I1" s="12" t="s">
        <v>52</v>
      </c>
      <c r="J1" s="13" t="s">
        <v>53</v>
      </c>
    </row>
    <row r="2" spans="1:16" x14ac:dyDescent="0.2">
      <c r="I2" s="14" t="s">
        <v>54</v>
      </c>
      <c r="J2" s="15" t="s">
        <v>55</v>
      </c>
    </row>
    <row r="3" spans="1:16" x14ac:dyDescent="0.2">
      <c r="A3" s="16" t="s">
        <v>56</v>
      </c>
      <c r="I3" s="14" t="s">
        <v>57</v>
      </c>
      <c r="J3" s="15" t="s">
        <v>58</v>
      </c>
    </row>
    <row r="4" spans="1:16" x14ac:dyDescent="0.2">
      <c r="I4" s="14" t="s">
        <v>59</v>
      </c>
      <c r="J4" s="15" t="s">
        <v>58</v>
      </c>
    </row>
    <row r="5" spans="1:16" ht="13.5" thickBot="1" x14ac:dyDescent="0.25">
      <c r="I5" s="17" t="s">
        <v>60</v>
      </c>
      <c r="J5" s="18" t="s">
        <v>61</v>
      </c>
    </row>
    <row r="10" spans="1:16" ht="13.5" thickBot="1" x14ac:dyDescent="0.25"/>
    <row r="11" spans="1:16" ht="12.75" customHeight="1" thickBot="1" x14ac:dyDescent="0.25">
      <c r="A11" s="11" t="str">
        <f t="shared" ref="A11:A36" si="0">P11</f>
        <v> BBS 35 </v>
      </c>
      <c r="B11" s="2" t="str">
        <f t="shared" ref="B11:B36" si="1">IF(H11=INT(H11),"I","II")</f>
        <v>I</v>
      </c>
      <c r="C11" s="11">
        <f t="shared" ref="C11:C36" si="2">1*G11</f>
        <v>43396.548000000003</v>
      </c>
      <c r="D11" s="7" t="str">
        <f t="shared" ref="D11:D36" si="3">VLOOKUP(F11,I$1:J$5,2,FALSE)</f>
        <v>vis</v>
      </c>
      <c r="E11" s="19">
        <f>VLOOKUP(C11,Active!C$21:E$973,3,FALSE)</f>
        <v>538.00064171681629</v>
      </c>
      <c r="F11" s="2" t="s">
        <v>60</v>
      </c>
      <c r="G11" s="7" t="str">
        <f t="shared" ref="G11:G36" si="4">MID(I11,3,LEN(I11)-3)</f>
        <v>43396.548</v>
      </c>
      <c r="H11" s="11">
        <f t="shared" ref="H11:H36" si="5">1*K11</f>
        <v>538</v>
      </c>
      <c r="I11" s="20" t="s">
        <v>107</v>
      </c>
      <c r="J11" s="21" t="s">
        <v>108</v>
      </c>
      <c r="K11" s="20">
        <v>538</v>
      </c>
      <c r="L11" s="20" t="s">
        <v>109</v>
      </c>
      <c r="M11" s="21" t="s">
        <v>110</v>
      </c>
      <c r="N11" s="21"/>
      <c r="O11" s="22" t="s">
        <v>111</v>
      </c>
      <c r="P11" s="22" t="s">
        <v>112</v>
      </c>
    </row>
    <row r="12" spans="1:16" ht="12.75" customHeight="1" thickBot="1" x14ac:dyDescent="0.25">
      <c r="A12" s="11" t="str">
        <f t="shared" si="0"/>
        <v> BBS 56 </v>
      </c>
      <c r="B12" s="2" t="str">
        <f t="shared" si="1"/>
        <v>I</v>
      </c>
      <c r="C12" s="11">
        <f t="shared" si="2"/>
        <v>44854.62</v>
      </c>
      <c r="D12" s="7" t="str">
        <f t="shared" si="3"/>
        <v>vis</v>
      </c>
      <c r="E12" s="19">
        <f>VLOOKUP(C12,Active!C$21:E$973,3,FALSE)</f>
        <v>809.99753759826285</v>
      </c>
      <c r="F12" s="2" t="s">
        <v>60</v>
      </c>
      <c r="G12" s="7" t="str">
        <f t="shared" si="4"/>
        <v>44854.620</v>
      </c>
      <c r="H12" s="11">
        <f t="shared" si="5"/>
        <v>810</v>
      </c>
      <c r="I12" s="20" t="s">
        <v>117</v>
      </c>
      <c r="J12" s="21" t="s">
        <v>118</v>
      </c>
      <c r="K12" s="20">
        <v>810</v>
      </c>
      <c r="L12" s="20" t="s">
        <v>119</v>
      </c>
      <c r="M12" s="21" t="s">
        <v>110</v>
      </c>
      <c r="N12" s="21"/>
      <c r="O12" s="22" t="s">
        <v>111</v>
      </c>
      <c r="P12" s="22" t="s">
        <v>120</v>
      </c>
    </row>
    <row r="13" spans="1:16" ht="12.75" customHeight="1" thickBot="1" x14ac:dyDescent="0.25">
      <c r="A13" s="11" t="str">
        <f t="shared" si="0"/>
        <v> BBS 57 </v>
      </c>
      <c r="B13" s="2" t="str">
        <f t="shared" si="1"/>
        <v>I</v>
      </c>
      <c r="C13" s="11">
        <f t="shared" si="2"/>
        <v>44924.303999999996</v>
      </c>
      <c r="D13" s="7" t="str">
        <f t="shared" si="3"/>
        <v>vis</v>
      </c>
      <c r="E13" s="19">
        <f>VLOOKUP(C13,Active!C$21:E$973,3,FALSE)</f>
        <v>822.99678022318199</v>
      </c>
      <c r="F13" s="2" t="s">
        <v>60</v>
      </c>
      <c r="G13" s="7" t="str">
        <f t="shared" si="4"/>
        <v>44924.304</v>
      </c>
      <c r="H13" s="11">
        <f t="shared" si="5"/>
        <v>823</v>
      </c>
      <c r="I13" s="20" t="s">
        <v>121</v>
      </c>
      <c r="J13" s="21" t="s">
        <v>122</v>
      </c>
      <c r="K13" s="20">
        <v>823</v>
      </c>
      <c r="L13" s="20" t="s">
        <v>123</v>
      </c>
      <c r="M13" s="21" t="s">
        <v>110</v>
      </c>
      <c r="N13" s="21"/>
      <c r="O13" s="22" t="s">
        <v>111</v>
      </c>
      <c r="P13" s="22" t="s">
        <v>124</v>
      </c>
    </row>
    <row r="14" spans="1:16" ht="12.75" customHeight="1" thickBot="1" x14ac:dyDescent="0.25">
      <c r="A14" s="11" t="str">
        <f t="shared" si="0"/>
        <v> BBS 65 </v>
      </c>
      <c r="B14" s="2" t="str">
        <f t="shared" si="1"/>
        <v>I</v>
      </c>
      <c r="C14" s="11">
        <f t="shared" si="2"/>
        <v>45385.307999999997</v>
      </c>
      <c r="D14" s="7" t="str">
        <f t="shared" si="3"/>
        <v>vis</v>
      </c>
      <c r="E14" s="19">
        <f>VLOOKUP(C14,Active!C$21:E$973,3,FALSE)</f>
        <v>908.99504161831931</v>
      </c>
      <c r="F14" s="2" t="s">
        <v>60</v>
      </c>
      <c r="G14" s="7" t="str">
        <f t="shared" si="4"/>
        <v>45385.308</v>
      </c>
      <c r="H14" s="11">
        <f t="shared" si="5"/>
        <v>909</v>
      </c>
      <c r="I14" s="20" t="s">
        <v>125</v>
      </c>
      <c r="J14" s="21" t="s">
        <v>126</v>
      </c>
      <c r="K14" s="20">
        <v>909</v>
      </c>
      <c r="L14" s="20" t="s">
        <v>100</v>
      </c>
      <c r="M14" s="21" t="s">
        <v>110</v>
      </c>
      <c r="N14" s="21"/>
      <c r="O14" s="22" t="s">
        <v>111</v>
      </c>
      <c r="P14" s="22" t="s">
        <v>127</v>
      </c>
    </row>
    <row r="15" spans="1:16" ht="12.75" customHeight="1" thickBot="1" x14ac:dyDescent="0.25">
      <c r="A15" s="11" t="str">
        <f t="shared" si="0"/>
        <v> BBS 70 </v>
      </c>
      <c r="B15" s="2" t="str">
        <f t="shared" si="1"/>
        <v>I</v>
      </c>
      <c r="C15" s="11">
        <f t="shared" si="2"/>
        <v>45701.544999999998</v>
      </c>
      <c r="D15" s="7" t="str">
        <f t="shared" si="3"/>
        <v>vis</v>
      </c>
      <c r="E15" s="19">
        <f>VLOOKUP(C15,Active!C$21:E$973,3,FALSE)</f>
        <v>967.98765814401986</v>
      </c>
      <c r="F15" s="2" t="s">
        <v>60</v>
      </c>
      <c r="G15" s="7" t="str">
        <f t="shared" si="4"/>
        <v>45701.545</v>
      </c>
      <c r="H15" s="11">
        <f t="shared" si="5"/>
        <v>968</v>
      </c>
      <c r="I15" s="20" t="s">
        <v>128</v>
      </c>
      <c r="J15" s="21" t="s">
        <v>129</v>
      </c>
      <c r="K15" s="20">
        <v>968</v>
      </c>
      <c r="L15" s="20" t="s">
        <v>130</v>
      </c>
      <c r="M15" s="21" t="s">
        <v>110</v>
      </c>
      <c r="N15" s="21"/>
      <c r="O15" s="22" t="s">
        <v>111</v>
      </c>
      <c r="P15" s="22" t="s">
        <v>131</v>
      </c>
    </row>
    <row r="16" spans="1:16" ht="12.75" customHeight="1" thickBot="1" x14ac:dyDescent="0.25">
      <c r="A16" s="11" t="str">
        <f t="shared" si="0"/>
        <v> BBS 85 </v>
      </c>
      <c r="B16" s="2" t="str">
        <f t="shared" si="1"/>
        <v>I</v>
      </c>
      <c r="C16" s="11">
        <f t="shared" si="2"/>
        <v>47068.51</v>
      </c>
      <c r="D16" s="7" t="str">
        <f t="shared" si="3"/>
        <v>vis</v>
      </c>
      <c r="E16" s="19">
        <f>VLOOKUP(C16,Active!C$21:E$973,3,FALSE)</f>
        <v>1222.988945308565</v>
      </c>
      <c r="F16" s="2" t="s">
        <v>60</v>
      </c>
      <c r="G16" s="7" t="str">
        <f t="shared" si="4"/>
        <v>47068.510</v>
      </c>
      <c r="H16" s="11">
        <f t="shared" si="5"/>
        <v>1223</v>
      </c>
      <c r="I16" s="20" t="s">
        <v>132</v>
      </c>
      <c r="J16" s="21" t="s">
        <v>133</v>
      </c>
      <c r="K16" s="20">
        <v>1223</v>
      </c>
      <c r="L16" s="20" t="s">
        <v>134</v>
      </c>
      <c r="M16" s="21" t="s">
        <v>110</v>
      </c>
      <c r="N16" s="21"/>
      <c r="O16" s="22" t="s">
        <v>111</v>
      </c>
      <c r="P16" s="22" t="s">
        <v>135</v>
      </c>
    </row>
    <row r="17" spans="1:16" ht="12.75" customHeight="1" thickBot="1" x14ac:dyDescent="0.25">
      <c r="A17" s="11" t="str">
        <f t="shared" si="0"/>
        <v> BBS 87 </v>
      </c>
      <c r="B17" s="2" t="str">
        <f t="shared" si="1"/>
        <v>I</v>
      </c>
      <c r="C17" s="11">
        <f t="shared" si="2"/>
        <v>47170.29</v>
      </c>
      <c r="D17" s="7" t="str">
        <f t="shared" si="3"/>
        <v>vis</v>
      </c>
      <c r="E17" s="19">
        <f>VLOOKUP(C17,Active!C$21:E$973,3,FALSE)</f>
        <v>1241.9755550663913</v>
      </c>
      <c r="F17" s="2" t="s">
        <v>60</v>
      </c>
      <c r="G17" s="7" t="str">
        <f t="shared" si="4"/>
        <v>47170.290</v>
      </c>
      <c r="H17" s="11">
        <f t="shared" si="5"/>
        <v>1242</v>
      </c>
      <c r="I17" s="20" t="s">
        <v>136</v>
      </c>
      <c r="J17" s="21" t="s">
        <v>137</v>
      </c>
      <c r="K17" s="20">
        <v>1242</v>
      </c>
      <c r="L17" s="20" t="s">
        <v>138</v>
      </c>
      <c r="M17" s="21" t="s">
        <v>110</v>
      </c>
      <c r="N17" s="21"/>
      <c r="O17" s="22" t="s">
        <v>111</v>
      </c>
      <c r="P17" s="22" t="s">
        <v>139</v>
      </c>
    </row>
    <row r="18" spans="1:16" ht="12.75" customHeight="1" thickBot="1" x14ac:dyDescent="0.25">
      <c r="A18" s="11" t="str">
        <f t="shared" si="0"/>
        <v> BBS 100 </v>
      </c>
      <c r="B18" s="2" t="str">
        <f t="shared" si="1"/>
        <v>I</v>
      </c>
      <c r="C18" s="11">
        <f t="shared" si="2"/>
        <v>48628.49</v>
      </c>
      <c r="D18" s="7" t="str">
        <f t="shared" si="3"/>
        <v>vis</v>
      </c>
      <c r="E18" s="19">
        <f>VLOOKUP(C18,Active!C$21:E$973,3,FALSE)</f>
        <v>1513.9963287828639</v>
      </c>
      <c r="F18" s="2" t="s">
        <v>60</v>
      </c>
      <c r="G18" s="7" t="str">
        <f t="shared" si="4"/>
        <v>48628.490</v>
      </c>
      <c r="H18" s="11">
        <f t="shared" si="5"/>
        <v>1514</v>
      </c>
      <c r="I18" s="20" t="s">
        <v>140</v>
      </c>
      <c r="J18" s="21" t="s">
        <v>141</v>
      </c>
      <c r="K18" s="20">
        <v>1514</v>
      </c>
      <c r="L18" s="20" t="s">
        <v>142</v>
      </c>
      <c r="M18" s="21" t="s">
        <v>110</v>
      </c>
      <c r="N18" s="21"/>
      <c r="O18" s="22" t="s">
        <v>111</v>
      </c>
      <c r="P18" s="22" t="s">
        <v>143</v>
      </c>
    </row>
    <row r="19" spans="1:16" ht="12.75" customHeight="1" thickBot="1" x14ac:dyDescent="0.25">
      <c r="A19" s="11" t="str">
        <f t="shared" si="0"/>
        <v>BAVM 173 </v>
      </c>
      <c r="B19" s="2" t="str">
        <f t="shared" si="1"/>
        <v>I</v>
      </c>
      <c r="C19" s="11">
        <f t="shared" si="2"/>
        <v>53265.498800000001</v>
      </c>
      <c r="D19" s="7" t="str">
        <f t="shared" si="3"/>
        <v>vis</v>
      </c>
      <c r="E19" s="19">
        <f>VLOOKUP(C19,Active!C$21:E$973,3,FALSE)</f>
        <v>2379.00985333786</v>
      </c>
      <c r="F19" s="2" t="s">
        <v>60</v>
      </c>
      <c r="G19" s="7" t="str">
        <f t="shared" si="4"/>
        <v>53265.4988</v>
      </c>
      <c r="H19" s="11">
        <f t="shared" si="5"/>
        <v>2379</v>
      </c>
      <c r="I19" s="20" t="s">
        <v>151</v>
      </c>
      <c r="J19" s="21" t="s">
        <v>152</v>
      </c>
      <c r="K19" s="20">
        <v>2379</v>
      </c>
      <c r="L19" s="20" t="s">
        <v>153</v>
      </c>
      <c r="M19" s="21" t="s">
        <v>147</v>
      </c>
      <c r="N19" s="21" t="s">
        <v>154</v>
      </c>
      <c r="O19" s="22" t="s">
        <v>155</v>
      </c>
      <c r="P19" s="23" t="s">
        <v>156</v>
      </c>
    </row>
    <row r="20" spans="1:16" ht="12.75" customHeight="1" thickBot="1" x14ac:dyDescent="0.25">
      <c r="A20" s="11" t="str">
        <f t="shared" si="0"/>
        <v>IBVS 5929 </v>
      </c>
      <c r="B20" s="2" t="str">
        <f t="shared" si="1"/>
        <v>I</v>
      </c>
      <c r="C20" s="11">
        <f t="shared" si="2"/>
        <v>55114.922500000001</v>
      </c>
      <c r="D20" s="7" t="str">
        <f t="shared" si="3"/>
        <v>vis</v>
      </c>
      <c r="E20" s="19">
        <f>VLOOKUP(C20,Active!C$21:E$973,3,FALSE)</f>
        <v>2724.0116814846042</v>
      </c>
      <c r="F20" s="2" t="s">
        <v>60</v>
      </c>
      <c r="G20" s="7" t="str">
        <f t="shared" si="4"/>
        <v>55114.9225</v>
      </c>
      <c r="H20" s="11">
        <f t="shared" si="5"/>
        <v>2724</v>
      </c>
      <c r="I20" s="20" t="s">
        <v>157</v>
      </c>
      <c r="J20" s="21" t="s">
        <v>158</v>
      </c>
      <c r="K20" s="20">
        <v>2724</v>
      </c>
      <c r="L20" s="20" t="s">
        <v>159</v>
      </c>
      <c r="M20" s="21" t="s">
        <v>160</v>
      </c>
      <c r="N20" s="21" t="s">
        <v>52</v>
      </c>
      <c r="O20" s="22" t="s">
        <v>161</v>
      </c>
      <c r="P20" s="23" t="s">
        <v>162</v>
      </c>
    </row>
    <row r="21" spans="1:16" ht="12.75" customHeight="1" thickBot="1" x14ac:dyDescent="0.25">
      <c r="A21" s="11" t="str">
        <f t="shared" si="0"/>
        <v> PZP 1.376 </v>
      </c>
      <c r="B21" s="2" t="str">
        <f t="shared" si="1"/>
        <v>I</v>
      </c>
      <c r="C21" s="11">
        <f t="shared" si="2"/>
        <v>16872.215</v>
      </c>
      <c r="D21" s="7" t="str">
        <f t="shared" si="3"/>
        <v>vis</v>
      </c>
      <c r="E21" s="19">
        <f>VLOOKUP(C21,Active!C$21:E$973,3,FALSE)</f>
        <v>-4409.9966048703327</v>
      </c>
      <c r="F21" s="2" t="s">
        <v>60</v>
      </c>
      <c r="G21" s="7" t="str">
        <f t="shared" si="4"/>
        <v>16872.215</v>
      </c>
      <c r="H21" s="11">
        <f t="shared" si="5"/>
        <v>-4410</v>
      </c>
      <c r="I21" s="20" t="s">
        <v>62</v>
      </c>
      <c r="J21" s="21" t="s">
        <v>63</v>
      </c>
      <c r="K21" s="20">
        <v>-4410</v>
      </c>
      <c r="L21" s="20" t="s">
        <v>64</v>
      </c>
      <c r="M21" s="21" t="s">
        <v>65</v>
      </c>
      <c r="N21" s="21"/>
      <c r="O21" s="22" t="s">
        <v>66</v>
      </c>
      <c r="P21" s="22" t="s">
        <v>67</v>
      </c>
    </row>
    <row r="22" spans="1:16" ht="12.75" customHeight="1" thickBot="1" x14ac:dyDescent="0.25">
      <c r="A22" s="11" t="str">
        <f t="shared" si="0"/>
        <v> PZP 1.376 </v>
      </c>
      <c r="B22" s="2" t="str">
        <f t="shared" si="1"/>
        <v>I</v>
      </c>
      <c r="C22" s="11">
        <f t="shared" si="2"/>
        <v>37639.360000000001</v>
      </c>
      <c r="D22" s="7" t="str">
        <f t="shared" si="3"/>
        <v>vis</v>
      </c>
      <c r="E22" s="19">
        <f>VLOOKUP(C22,Active!C$21:E$973,3,FALSE)</f>
        <v>-535.97736828948928</v>
      </c>
      <c r="F22" s="2" t="s">
        <v>60</v>
      </c>
      <c r="G22" s="7" t="str">
        <f t="shared" si="4"/>
        <v>37639.360</v>
      </c>
      <c r="H22" s="11">
        <f t="shared" si="5"/>
        <v>-536</v>
      </c>
      <c r="I22" s="20" t="s">
        <v>68</v>
      </c>
      <c r="J22" s="21" t="s">
        <v>69</v>
      </c>
      <c r="K22" s="20">
        <v>-536</v>
      </c>
      <c r="L22" s="20" t="s">
        <v>70</v>
      </c>
      <c r="M22" s="21" t="s">
        <v>65</v>
      </c>
      <c r="N22" s="21"/>
      <c r="O22" s="22" t="s">
        <v>66</v>
      </c>
      <c r="P22" s="22" t="s">
        <v>67</v>
      </c>
    </row>
    <row r="23" spans="1:16" ht="12.75" customHeight="1" thickBot="1" x14ac:dyDescent="0.25">
      <c r="A23" s="11" t="str">
        <f t="shared" si="0"/>
        <v> PZP 1.376 </v>
      </c>
      <c r="B23" s="2" t="str">
        <f t="shared" si="1"/>
        <v>I</v>
      </c>
      <c r="C23" s="11">
        <f t="shared" si="2"/>
        <v>37639.447999999997</v>
      </c>
      <c r="D23" s="7" t="str">
        <f t="shared" si="3"/>
        <v>vis</v>
      </c>
      <c r="E23" s="19">
        <f>VLOOKUP(C23,Active!C$21:E$973,3,FALSE)</f>
        <v>-535.96095227790931</v>
      </c>
      <c r="F23" s="2" t="s">
        <v>60</v>
      </c>
      <c r="G23" s="7" t="str">
        <f t="shared" si="4"/>
        <v>37639.448</v>
      </c>
      <c r="H23" s="11">
        <f t="shared" si="5"/>
        <v>-536</v>
      </c>
      <c r="I23" s="20" t="s">
        <v>71</v>
      </c>
      <c r="J23" s="21" t="s">
        <v>72</v>
      </c>
      <c r="K23" s="20">
        <v>-536</v>
      </c>
      <c r="L23" s="20" t="s">
        <v>73</v>
      </c>
      <c r="M23" s="21" t="s">
        <v>65</v>
      </c>
      <c r="N23" s="21"/>
      <c r="O23" s="22" t="s">
        <v>66</v>
      </c>
      <c r="P23" s="22" t="s">
        <v>67</v>
      </c>
    </row>
    <row r="24" spans="1:16" ht="12.75" customHeight="1" thickBot="1" x14ac:dyDescent="0.25">
      <c r="A24" s="11" t="str">
        <f t="shared" si="0"/>
        <v> PZP 1.376 </v>
      </c>
      <c r="B24" s="2" t="str">
        <f t="shared" si="1"/>
        <v>I</v>
      </c>
      <c r="C24" s="11">
        <f t="shared" si="2"/>
        <v>38765.207999999999</v>
      </c>
      <c r="D24" s="7" t="str">
        <f t="shared" si="3"/>
        <v>vis</v>
      </c>
      <c r="E24" s="19">
        <f>VLOOKUP(C24,Active!C$21:E$973,3,FALSE)</f>
        <v>-325.95539321944176</v>
      </c>
      <c r="F24" s="2" t="s">
        <v>60</v>
      </c>
      <c r="G24" s="7" t="str">
        <f t="shared" si="4"/>
        <v>38765.208</v>
      </c>
      <c r="H24" s="11">
        <f t="shared" si="5"/>
        <v>-326</v>
      </c>
      <c r="I24" s="20" t="s">
        <v>74</v>
      </c>
      <c r="J24" s="21" t="s">
        <v>75</v>
      </c>
      <c r="K24" s="20">
        <v>-326</v>
      </c>
      <c r="L24" s="20" t="s">
        <v>76</v>
      </c>
      <c r="M24" s="21" t="s">
        <v>65</v>
      </c>
      <c r="N24" s="21"/>
      <c r="O24" s="22" t="s">
        <v>66</v>
      </c>
      <c r="P24" s="22" t="s">
        <v>67</v>
      </c>
    </row>
    <row r="25" spans="1:16" ht="12.75" customHeight="1" thickBot="1" x14ac:dyDescent="0.25">
      <c r="A25" s="11" t="str">
        <f t="shared" si="0"/>
        <v> PZP 1.376 </v>
      </c>
      <c r="B25" s="2" t="str">
        <f t="shared" si="1"/>
        <v>I</v>
      </c>
      <c r="C25" s="11">
        <f t="shared" si="2"/>
        <v>38840.266000000003</v>
      </c>
      <c r="D25" s="7" t="str">
        <f t="shared" si="3"/>
        <v>vis</v>
      </c>
      <c r="E25" s="19">
        <f>VLOOKUP(C25,Active!C$21:E$973,3,FALSE)</f>
        <v>-311.95365461457806</v>
      </c>
      <c r="F25" s="2" t="s">
        <v>60</v>
      </c>
      <c r="G25" s="7" t="str">
        <f t="shared" si="4"/>
        <v>38840.266</v>
      </c>
      <c r="H25" s="11">
        <f t="shared" si="5"/>
        <v>-312</v>
      </c>
      <c r="I25" s="20" t="s">
        <v>77</v>
      </c>
      <c r="J25" s="21" t="s">
        <v>78</v>
      </c>
      <c r="K25" s="20">
        <v>-312</v>
      </c>
      <c r="L25" s="20" t="s">
        <v>79</v>
      </c>
      <c r="M25" s="21" t="s">
        <v>65</v>
      </c>
      <c r="N25" s="21"/>
      <c r="O25" s="22" t="s">
        <v>66</v>
      </c>
      <c r="P25" s="22" t="s">
        <v>67</v>
      </c>
    </row>
    <row r="26" spans="1:16" ht="12.75" customHeight="1" thickBot="1" x14ac:dyDescent="0.25">
      <c r="A26" s="11" t="str">
        <f t="shared" si="0"/>
        <v> PZP 1.376 </v>
      </c>
      <c r="B26" s="2" t="str">
        <f t="shared" si="1"/>
        <v>I</v>
      </c>
      <c r="C26" s="11">
        <f t="shared" si="2"/>
        <v>39027.502999999997</v>
      </c>
      <c r="D26" s="7" t="str">
        <f t="shared" si="3"/>
        <v>vis</v>
      </c>
      <c r="E26" s="19">
        <f>VLOOKUP(C26,Active!C$21:E$973,3,FALSE)</f>
        <v>-277.02541870156915</v>
      </c>
      <c r="F26" s="2" t="s">
        <v>60</v>
      </c>
      <c r="G26" s="7" t="str">
        <f t="shared" si="4"/>
        <v>39027.503</v>
      </c>
      <c r="H26" s="11">
        <f t="shared" si="5"/>
        <v>-277</v>
      </c>
      <c r="I26" s="20" t="s">
        <v>80</v>
      </c>
      <c r="J26" s="21" t="s">
        <v>81</v>
      </c>
      <c r="K26" s="20">
        <v>-277</v>
      </c>
      <c r="L26" s="20" t="s">
        <v>82</v>
      </c>
      <c r="M26" s="21" t="s">
        <v>65</v>
      </c>
      <c r="N26" s="21"/>
      <c r="O26" s="22" t="s">
        <v>66</v>
      </c>
      <c r="P26" s="22" t="s">
        <v>67</v>
      </c>
    </row>
    <row r="27" spans="1:16" ht="12.75" customHeight="1" thickBot="1" x14ac:dyDescent="0.25">
      <c r="A27" s="11" t="str">
        <f t="shared" si="0"/>
        <v> PZP 1.376 </v>
      </c>
      <c r="B27" s="2" t="str">
        <f t="shared" si="1"/>
        <v>I</v>
      </c>
      <c r="C27" s="11">
        <f t="shared" si="2"/>
        <v>39408.413999999997</v>
      </c>
      <c r="D27" s="7" t="str">
        <f t="shared" si="3"/>
        <v>vis</v>
      </c>
      <c r="E27" s="19">
        <f>VLOOKUP(C27,Active!C$21:E$973,3,FALSE)</f>
        <v>-205.9681529375344</v>
      </c>
      <c r="F27" s="2" t="s">
        <v>60</v>
      </c>
      <c r="G27" s="7" t="str">
        <f t="shared" si="4"/>
        <v>39408.414</v>
      </c>
      <c r="H27" s="11">
        <f t="shared" si="5"/>
        <v>-206</v>
      </c>
      <c r="I27" s="20" t="s">
        <v>83</v>
      </c>
      <c r="J27" s="21" t="s">
        <v>84</v>
      </c>
      <c r="K27" s="20">
        <v>-206</v>
      </c>
      <c r="L27" s="20" t="s">
        <v>85</v>
      </c>
      <c r="M27" s="21" t="s">
        <v>65</v>
      </c>
      <c r="N27" s="21"/>
      <c r="O27" s="22" t="s">
        <v>66</v>
      </c>
      <c r="P27" s="22" t="s">
        <v>67</v>
      </c>
    </row>
    <row r="28" spans="1:16" ht="12.75" customHeight="1" thickBot="1" x14ac:dyDescent="0.25">
      <c r="A28" s="11" t="str">
        <f t="shared" si="0"/>
        <v> PZP 1.376 </v>
      </c>
      <c r="B28" s="2" t="str">
        <f t="shared" si="1"/>
        <v>I</v>
      </c>
      <c r="C28" s="11">
        <f t="shared" si="2"/>
        <v>39558.239000000001</v>
      </c>
      <c r="D28" s="7" t="str">
        <f t="shared" si="3"/>
        <v>vis</v>
      </c>
      <c r="E28" s="19">
        <f>VLOOKUP(C28,Active!C$21:E$973,3,FALSE)</f>
        <v>-178.018960493376</v>
      </c>
      <c r="F28" s="2" t="s">
        <v>60</v>
      </c>
      <c r="G28" s="7" t="str">
        <f t="shared" si="4"/>
        <v>39558.239</v>
      </c>
      <c r="H28" s="11">
        <f t="shared" si="5"/>
        <v>-178</v>
      </c>
      <c r="I28" s="20" t="s">
        <v>86</v>
      </c>
      <c r="J28" s="21" t="s">
        <v>87</v>
      </c>
      <c r="K28" s="20">
        <v>-178</v>
      </c>
      <c r="L28" s="20" t="s">
        <v>88</v>
      </c>
      <c r="M28" s="21" t="s">
        <v>65</v>
      </c>
      <c r="N28" s="21"/>
      <c r="O28" s="22" t="s">
        <v>66</v>
      </c>
      <c r="P28" s="22" t="s">
        <v>67</v>
      </c>
    </row>
    <row r="29" spans="1:16" ht="12.75" customHeight="1" thickBot="1" x14ac:dyDescent="0.25">
      <c r="A29" s="11" t="str">
        <f t="shared" si="0"/>
        <v> PZP 1.376 </v>
      </c>
      <c r="B29" s="2" t="str">
        <f t="shared" si="1"/>
        <v>I</v>
      </c>
      <c r="C29" s="11">
        <f t="shared" si="2"/>
        <v>39767.487000000001</v>
      </c>
      <c r="D29" s="7" t="str">
        <f t="shared" si="3"/>
        <v>vis</v>
      </c>
      <c r="E29" s="19">
        <f>VLOOKUP(C29,Active!C$21:E$973,3,FALSE)</f>
        <v>-138.98466968373094</v>
      </c>
      <c r="F29" s="2" t="s">
        <v>60</v>
      </c>
      <c r="G29" s="7" t="str">
        <f t="shared" si="4"/>
        <v>39767.487</v>
      </c>
      <c r="H29" s="11">
        <f t="shared" si="5"/>
        <v>-139</v>
      </c>
      <c r="I29" s="20" t="s">
        <v>89</v>
      </c>
      <c r="J29" s="21" t="s">
        <v>90</v>
      </c>
      <c r="K29" s="20">
        <v>-139</v>
      </c>
      <c r="L29" s="20" t="s">
        <v>91</v>
      </c>
      <c r="M29" s="21" t="s">
        <v>65</v>
      </c>
      <c r="N29" s="21"/>
      <c r="O29" s="22" t="s">
        <v>66</v>
      </c>
      <c r="P29" s="22" t="s">
        <v>67</v>
      </c>
    </row>
    <row r="30" spans="1:16" ht="12.75" customHeight="1" thickBot="1" x14ac:dyDescent="0.25">
      <c r="A30" s="11" t="str">
        <f t="shared" si="0"/>
        <v> PZP 1.376 </v>
      </c>
      <c r="B30" s="2" t="str">
        <f t="shared" si="1"/>
        <v>I</v>
      </c>
      <c r="C30" s="11">
        <f t="shared" si="2"/>
        <v>40153.493999999999</v>
      </c>
      <c r="D30" s="7" t="str">
        <f t="shared" si="3"/>
        <v>vis</v>
      </c>
      <c r="E30" s="19">
        <f>VLOOKUP(C30,Active!C$21:E$973,3,FALSE)</f>
        <v>-66.976767612702247</v>
      </c>
      <c r="F30" s="2" t="s">
        <v>60</v>
      </c>
      <c r="G30" s="7" t="str">
        <f t="shared" si="4"/>
        <v>40153.494</v>
      </c>
      <c r="H30" s="11">
        <f t="shared" si="5"/>
        <v>-67</v>
      </c>
      <c r="I30" s="20" t="s">
        <v>92</v>
      </c>
      <c r="J30" s="21" t="s">
        <v>93</v>
      </c>
      <c r="K30" s="20">
        <v>-67</v>
      </c>
      <c r="L30" s="20" t="s">
        <v>94</v>
      </c>
      <c r="M30" s="21" t="s">
        <v>65</v>
      </c>
      <c r="N30" s="21"/>
      <c r="O30" s="22" t="s">
        <v>66</v>
      </c>
      <c r="P30" s="22" t="s">
        <v>67</v>
      </c>
    </row>
    <row r="31" spans="1:16" ht="12.75" customHeight="1" thickBot="1" x14ac:dyDescent="0.25">
      <c r="A31" s="11" t="str">
        <f t="shared" si="0"/>
        <v> PZP 1.376 </v>
      </c>
      <c r="B31" s="2" t="str">
        <f t="shared" si="1"/>
        <v>I</v>
      </c>
      <c r="C31" s="11">
        <f t="shared" si="2"/>
        <v>40287.233</v>
      </c>
      <c r="D31" s="7" t="str">
        <f t="shared" si="3"/>
        <v>vis</v>
      </c>
      <c r="E31" s="19">
        <f>VLOOKUP(C31,Active!C$21:E$973,3,FALSE)</f>
        <v>-42.028347467271047</v>
      </c>
      <c r="F31" s="2" t="s">
        <v>60</v>
      </c>
      <c r="G31" s="7" t="str">
        <f t="shared" si="4"/>
        <v>40287.233</v>
      </c>
      <c r="H31" s="11">
        <f t="shared" si="5"/>
        <v>-42</v>
      </c>
      <c r="I31" s="20" t="s">
        <v>95</v>
      </c>
      <c r="J31" s="21" t="s">
        <v>96</v>
      </c>
      <c r="K31" s="20">
        <v>-42</v>
      </c>
      <c r="L31" s="20" t="s">
        <v>97</v>
      </c>
      <c r="M31" s="21" t="s">
        <v>65</v>
      </c>
      <c r="N31" s="21"/>
      <c r="O31" s="22" t="s">
        <v>66</v>
      </c>
      <c r="P31" s="22" t="s">
        <v>67</v>
      </c>
    </row>
    <row r="32" spans="1:16" ht="12.75" customHeight="1" thickBot="1" x14ac:dyDescent="0.25">
      <c r="A32" s="11" t="str">
        <f t="shared" si="0"/>
        <v> PZP 1.376 </v>
      </c>
      <c r="B32" s="2" t="str">
        <f t="shared" si="1"/>
        <v>I</v>
      </c>
      <c r="C32" s="11">
        <f t="shared" si="2"/>
        <v>40512.504000000001</v>
      </c>
      <c r="D32" s="7" t="str">
        <f t="shared" si="3"/>
        <v>vis</v>
      </c>
      <c r="E32" s="19">
        <f>VLOOKUP(C32,Active!C$21:E$973,3,FALSE)</f>
        <v>-5.0367308262593965E-3</v>
      </c>
      <c r="F32" s="2" t="s">
        <v>60</v>
      </c>
      <c r="G32" s="7" t="str">
        <f t="shared" si="4"/>
        <v>40512.504</v>
      </c>
      <c r="H32" s="11">
        <f t="shared" si="5"/>
        <v>0</v>
      </c>
      <c r="I32" s="20" t="s">
        <v>98</v>
      </c>
      <c r="J32" s="21" t="s">
        <v>99</v>
      </c>
      <c r="K32" s="20">
        <v>0</v>
      </c>
      <c r="L32" s="20" t="s">
        <v>100</v>
      </c>
      <c r="M32" s="21" t="s">
        <v>65</v>
      </c>
      <c r="N32" s="21"/>
      <c r="O32" s="22" t="s">
        <v>66</v>
      </c>
      <c r="P32" s="22" t="s">
        <v>67</v>
      </c>
    </row>
    <row r="33" spans="1:16" ht="12.75" customHeight="1" thickBot="1" x14ac:dyDescent="0.25">
      <c r="A33" s="11" t="str">
        <f t="shared" si="0"/>
        <v> PZP 1.376 </v>
      </c>
      <c r="B33" s="2" t="str">
        <f t="shared" si="1"/>
        <v>I</v>
      </c>
      <c r="C33" s="11">
        <f t="shared" si="2"/>
        <v>40539.483999999997</v>
      </c>
      <c r="D33" s="7" t="str">
        <f t="shared" si="3"/>
        <v>vis</v>
      </c>
      <c r="E33" s="19">
        <f>VLOOKUP(C33,Active!C$21:E$973,3,FALSE)</f>
        <v>5.0279631833620106</v>
      </c>
      <c r="F33" s="2" t="s">
        <v>60</v>
      </c>
      <c r="G33" s="7" t="str">
        <f t="shared" si="4"/>
        <v>40539.484</v>
      </c>
      <c r="H33" s="11">
        <f t="shared" si="5"/>
        <v>5</v>
      </c>
      <c r="I33" s="20" t="s">
        <v>101</v>
      </c>
      <c r="J33" s="21" t="s">
        <v>102</v>
      </c>
      <c r="K33" s="20">
        <v>5</v>
      </c>
      <c r="L33" s="20" t="s">
        <v>103</v>
      </c>
      <c r="M33" s="21" t="s">
        <v>65</v>
      </c>
      <c r="N33" s="21"/>
      <c r="O33" s="22" t="s">
        <v>66</v>
      </c>
      <c r="P33" s="22" t="s">
        <v>67</v>
      </c>
    </row>
    <row r="34" spans="1:16" ht="12.75" customHeight="1" thickBot="1" x14ac:dyDescent="0.25">
      <c r="A34" s="11" t="str">
        <f t="shared" si="0"/>
        <v> PZP 1.376 </v>
      </c>
      <c r="B34" s="2" t="str">
        <f t="shared" si="1"/>
        <v>I</v>
      </c>
      <c r="C34" s="11">
        <f t="shared" si="2"/>
        <v>40539.517</v>
      </c>
      <c r="D34" s="7" t="str">
        <f t="shared" si="3"/>
        <v>vis</v>
      </c>
      <c r="E34" s="19">
        <f>VLOOKUP(C34,Active!C$21:E$973,3,FALSE)</f>
        <v>5.0341191877053673</v>
      </c>
      <c r="F34" s="2" t="s">
        <v>60</v>
      </c>
      <c r="G34" s="7" t="str">
        <f t="shared" si="4"/>
        <v>40539.517</v>
      </c>
      <c r="H34" s="11">
        <f t="shared" si="5"/>
        <v>5</v>
      </c>
      <c r="I34" s="20" t="s">
        <v>104</v>
      </c>
      <c r="J34" s="21" t="s">
        <v>105</v>
      </c>
      <c r="K34" s="20">
        <v>5</v>
      </c>
      <c r="L34" s="20" t="s">
        <v>106</v>
      </c>
      <c r="M34" s="21" t="s">
        <v>65</v>
      </c>
      <c r="N34" s="21"/>
      <c r="O34" s="22" t="s">
        <v>66</v>
      </c>
      <c r="P34" s="22" t="s">
        <v>67</v>
      </c>
    </row>
    <row r="35" spans="1:16" ht="12.75" customHeight="1" thickBot="1" x14ac:dyDescent="0.25">
      <c r="A35" s="11" t="str">
        <f t="shared" si="0"/>
        <v> BBS 36 </v>
      </c>
      <c r="B35" s="2" t="str">
        <f t="shared" si="1"/>
        <v>I</v>
      </c>
      <c r="C35" s="11">
        <f t="shared" si="2"/>
        <v>43514.489000000001</v>
      </c>
      <c r="D35" s="7" t="str">
        <f t="shared" si="3"/>
        <v>vis</v>
      </c>
      <c r="E35" s="19">
        <f>VLOOKUP(C35,Active!C$21:E$973,3,FALSE)</f>
        <v>560.00201469233014</v>
      </c>
      <c r="F35" s="2" t="s">
        <v>60</v>
      </c>
      <c r="G35" s="7" t="str">
        <f t="shared" si="4"/>
        <v>43514.489</v>
      </c>
      <c r="H35" s="11">
        <f t="shared" si="5"/>
        <v>560</v>
      </c>
      <c r="I35" s="20" t="s">
        <v>113</v>
      </c>
      <c r="J35" s="21" t="s">
        <v>114</v>
      </c>
      <c r="K35" s="20">
        <v>560</v>
      </c>
      <c r="L35" s="20" t="s">
        <v>115</v>
      </c>
      <c r="M35" s="21" t="s">
        <v>110</v>
      </c>
      <c r="N35" s="21"/>
      <c r="O35" s="22" t="s">
        <v>111</v>
      </c>
      <c r="P35" s="22" t="s">
        <v>116</v>
      </c>
    </row>
    <row r="36" spans="1:16" ht="12.75" customHeight="1" thickBot="1" x14ac:dyDescent="0.25">
      <c r="A36" s="11" t="str">
        <f t="shared" si="0"/>
        <v> BRNO 32 </v>
      </c>
      <c r="B36" s="2" t="str">
        <f t="shared" si="1"/>
        <v>I</v>
      </c>
      <c r="C36" s="11">
        <f t="shared" si="2"/>
        <v>51555.441500000001</v>
      </c>
      <c r="D36" s="7" t="str">
        <f t="shared" si="3"/>
        <v>vis</v>
      </c>
      <c r="E36" s="19">
        <f>VLOOKUP(C36,Active!C$21:E$973,3,FALSE)</f>
        <v>2060.0062119680183</v>
      </c>
      <c r="F36" s="2" t="s">
        <v>60</v>
      </c>
      <c r="G36" s="7" t="str">
        <f t="shared" si="4"/>
        <v>51555.4415</v>
      </c>
      <c r="H36" s="11">
        <f t="shared" si="5"/>
        <v>2060</v>
      </c>
      <c r="I36" s="20" t="s">
        <v>144</v>
      </c>
      <c r="J36" s="21" t="s">
        <v>145</v>
      </c>
      <c r="K36" s="20">
        <v>2060</v>
      </c>
      <c r="L36" s="20" t="s">
        <v>146</v>
      </c>
      <c r="M36" s="21" t="s">
        <v>147</v>
      </c>
      <c r="N36" s="21" t="s">
        <v>148</v>
      </c>
      <c r="O36" s="22" t="s">
        <v>149</v>
      </c>
      <c r="P36" s="22" t="s">
        <v>150</v>
      </c>
    </row>
    <row r="37" spans="1:16" x14ac:dyDescent="0.2">
      <c r="B37" s="2"/>
      <c r="E37" s="19"/>
      <c r="F37" s="2"/>
    </row>
    <row r="38" spans="1:16" x14ac:dyDescent="0.2">
      <c r="B38" s="2"/>
      <c r="E38" s="19"/>
      <c r="F38" s="2"/>
    </row>
    <row r="39" spans="1:16" x14ac:dyDescent="0.2">
      <c r="B39" s="2"/>
      <c r="E39" s="19"/>
      <c r="F39" s="2"/>
    </row>
    <row r="40" spans="1:16" x14ac:dyDescent="0.2">
      <c r="B40" s="2"/>
      <c r="E40" s="19"/>
      <c r="F40" s="2"/>
    </row>
    <row r="41" spans="1:16" x14ac:dyDescent="0.2">
      <c r="B41" s="2"/>
      <c r="E41" s="19"/>
      <c r="F41" s="2"/>
    </row>
    <row r="42" spans="1:16" x14ac:dyDescent="0.2">
      <c r="B42" s="2"/>
      <c r="E42" s="19"/>
      <c r="F42" s="2"/>
    </row>
    <row r="43" spans="1:16" x14ac:dyDescent="0.2">
      <c r="B43" s="2"/>
      <c r="E43" s="19"/>
      <c r="F43" s="2"/>
    </row>
    <row r="44" spans="1:16" x14ac:dyDescent="0.2">
      <c r="B44" s="2"/>
      <c r="E44" s="19"/>
      <c r="F44" s="2"/>
    </row>
    <row r="45" spans="1:16" x14ac:dyDescent="0.2">
      <c r="B45" s="2"/>
      <c r="E45" s="19"/>
      <c r="F45" s="2"/>
    </row>
    <row r="46" spans="1:16" x14ac:dyDescent="0.2">
      <c r="B46" s="2"/>
      <c r="E46" s="19"/>
      <c r="F46" s="2"/>
    </row>
    <row r="47" spans="1:16" x14ac:dyDescent="0.2">
      <c r="B47" s="2"/>
      <c r="E47" s="19"/>
      <c r="F47" s="2"/>
    </row>
    <row r="48" spans="1:16" x14ac:dyDescent="0.2">
      <c r="B48" s="2"/>
      <c r="E48" s="19"/>
      <c r="F48" s="2"/>
    </row>
    <row r="49" spans="2:6" x14ac:dyDescent="0.2">
      <c r="B49" s="2"/>
      <c r="E49" s="19"/>
      <c r="F49" s="2"/>
    </row>
    <row r="50" spans="2:6" x14ac:dyDescent="0.2">
      <c r="B50" s="2"/>
      <c r="E50" s="19"/>
      <c r="F50" s="2"/>
    </row>
    <row r="51" spans="2:6" x14ac:dyDescent="0.2">
      <c r="B51" s="2"/>
      <c r="E51" s="19"/>
      <c r="F51" s="2"/>
    </row>
    <row r="52" spans="2:6" x14ac:dyDescent="0.2">
      <c r="B52" s="2"/>
      <c r="E52" s="19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</sheetData>
  <phoneticPr fontId="7" type="noConversion"/>
  <hyperlinks>
    <hyperlink ref="P19" r:id="rId1" display="http://www.bav-astro.de/sfs/BAVM_link.php?BAVMnr=173"/>
    <hyperlink ref="P20" r:id="rId2" display="http://www.konkoly.hu/cgi-bin/IBVS?592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2024-03-07T05:02:00Z</dcterms:modified>
</cp:coreProperties>
</file>