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8C2C416-AF6D-4CC4-AD7B-91FCD5FB122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5" i="2" l="1"/>
  <c r="C15" i="2"/>
  <c r="G14" i="2"/>
  <c r="C14" i="2"/>
  <c r="E14" i="2"/>
  <c r="G13" i="2"/>
  <c r="C13" i="2"/>
  <c r="E13" i="2"/>
  <c r="G12" i="2"/>
  <c r="C12" i="2"/>
  <c r="G11" i="2"/>
  <c r="C11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D9" i="1"/>
  <c r="Q27" i="1"/>
  <c r="F16" i="1"/>
  <c r="C17" i="1"/>
  <c r="Q26" i="1"/>
  <c r="E26" i="1"/>
  <c r="F26" i="1"/>
  <c r="G26" i="1"/>
  <c r="K26" i="1"/>
  <c r="Q25" i="1"/>
  <c r="Q23" i="1"/>
  <c r="Q24" i="1"/>
  <c r="Q22" i="1"/>
  <c r="C8" i="1"/>
  <c r="E25" i="1"/>
  <c r="F25" i="1"/>
  <c r="G25" i="1"/>
  <c r="K25" i="1"/>
  <c r="C7" i="1"/>
  <c r="E23" i="1"/>
  <c r="F23" i="1"/>
  <c r="G23" i="1"/>
  <c r="J23" i="1"/>
  <c r="Q21" i="1"/>
  <c r="E15" i="2"/>
  <c r="E12" i="2"/>
  <c r="E22" i="1"/>
  <c r="F22" i="1"/>
  <c r="G22" i="1"/>
  <c r="I22" i="1"/>
  <c r="E24" i="1"/>
  <c r="F24" i="1"/>
  <c r="G24" i="1"/>
  <c r="E21" i="1"/>
  <c r="F21" i="1"/>
  <c r="G27" i="1"/>
  <c r="K27" i="1"/>
  <c r="E27" i="1"/>
  <c r="F27" i="1"/>
  <c r="J24" i="1"/>
  <c r="E11" i="2"/>
  <c r="C12" i="1"/>
  <c r="C11" i="1"/>
  <c r="O27" i="1" l="1"/>
  <c r="C15" i="1"/>
  <c r="O23" i="1"/>
  <c r="O24" i="1"/>
  <c r="O25" i="1"/>
  <c r="O22" i="1"/>
  <c r="O2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<sst xmlns="http://schemas.openxmlformats.org/spreadsheetml/2006/main" count="109" uniqueCount="86">
  <si>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</si>
  <si>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</si>
  <si>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</si>
  <si>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</si>
  <si>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</si>
  <si>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</si>
  <si>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</si>
  <si>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</si>
  <si>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</si>
  <si>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</si>
  <si>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</si>
  <si>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</si>
  <si>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</si>
  <si>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</si>
  <si>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</si>
  <si>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</si>
  <si>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</si>
  <si>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</si>
  <si>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</si>
  <si>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</si>
  <si>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</si>
  <si>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</si>
  <si>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</si>
  <si>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</si>
  <si>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</si>
  <si>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</si>
  <si>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</si>
  <si>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</si>
  <si>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</si>
  <si>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Bull.47</t>
  </si>
  <si>
    <t>B</t>
  </si>
  <si>
    <t>IBVS 5263</t>
  </si>
  <si>
    <t>I</t>
  </si>
  <si>
    <t>IBVS 4888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</si>
  <si>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</si>
  <si>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</si>
  <si>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</si>
  <si>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</si>
  <si>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</si>
  <si>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</si>
  <si>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</si>
  <si>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OEJV 0074</t>
  </si>
  <si>
    <t>Start of linear fit &gt;&gt;&gt;&gt;&gt;&gt;&gt;&gt;&gt;&gt;&gt;&gt;&gt;&gt;&gt;&gt;&gt;&gt;&gt;&gt;&gt;</t>
  </si>
  <si>
    <t>IBVS 5894</t>
  </si>
  <si>
    <t>Add cycle</t>
  </si>
  <si>
    <t>Old Cycle</t>
  </si>
  <si>
    <t>IBVS 5992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</si>
  <si>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</si>
  <si>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</si>
  <si>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</si>
  <si>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</si>
  <si>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</si>
  <si>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</si>
  <si>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</si>
  <si>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</si>
  <si>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</si>
  <si>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</si>
  <si>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</si>
  <si>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2450839.4669 </t>
  </si>
  <si>
    <t> 25.01.1998 23:12 </t>
  </si>
  <si>
    <t> 0.2916 </t>
  </si>
  <si>
    <t>E </t>
  </si>
  <si>
    <t>?</t>
  </si>
  <si>
    <t> J.Safar </t>
  </si>
  <si>
    <t>IBVS 4888 </t>
  </si>
  <si>
    <t>2451481.5101 </t>
  </si>
  <si>
    <t> 30.10.1999 00:14 </t>
  </si>
  <si>
    <t> 0.3301 </t>
  </si>
  <si>
    <t>IBVS 5263 </t>
  </si>
  <si>
    <t>2451838.42472 </t>
  </si>
  <si>
    <t> 20.10.2000 22:11 </t>
  </si>
  <si>
    <t> 0.34761 </t>
  </si>
  <si>
    <t>C </t>
  </si>
  <si>
    <t>o</t>
  </si>
  <si>
    <t> J.Šafár </t>
  </si>
  <si>
    <t>OEJV 0074 </t>
  </si>
  <si>
    <t>2454849.6919 </t>
  </si>
  <si>
    <t> 18.01.2009 04:36 </t>
  </si>
  <si>
    <t> 0.5515 </t>
  </si>
  <si>
    <t> R.Diethelm </t>
  </si>
  <si>
    <t>IBVS 5894 </t>
  </si>
  <si>
    <t>2455571.7366 </t>
  </si>
  <si>
    <t> 10.01.2011 05:40 </t>
  </si>
  <si>
    <t> 0.5974 </t>
  </si>
  <si>
    <t>IBVS 5992 </t>
  </si>
  <si>
    <t>V0407 Tau / GSC 1822-0091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</si>
</sst>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1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3" borderId="12" xfId="0" applyFont="1" applyFill="1" applyBorder="1" applyAlignment="1">
      <alignment horizontal="left" vertical="top" wrapText="1" indent="1"/>
    </xf>
    <xf numFmtId="0" fontId="4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right" vertical="top" wrapText="1"/>
    </xf>
    <xf numFmtId="0" fontId="17" fillId="3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V0407 Tau - O-C Diagr.</a:t>
            </a:r>
          </a:p>
        </c:rich>
      </c:tx>
      <c:layout>
        <c:manualLayout>
          <c:xMode val="edge"/>
          <c:yMode val="edge"/>
          <c:x val="0.3613866583508744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6358173406195"/>
          <c:y val="0.14769252958613219"/>
          <c:w val="0.815182831810204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3794</c:v>
                </c:pt>
                <c:pt idx="2">
                  <c:v>7293</c:v>
                </c:pt>
                <c:pt idx="3">
                  <c:v>6980</c:v>
                </c:pt>
                <c:pt idx="4">
                  <c:v>7467</c:v>
                </c:pt>
                <c:pt idx="5">
                  <c:v>8935</c:v>
                </c:pt>
                <c:pt idx="6">
                  <c:v>9287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4F-4F01-8E04-D34B480C9A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3794</c:v>
                </c:pt>
                <c:pt idx="2">
                  <c:v>7293</c:v>
                </c:pt>
                <c:pt idx="3">
                  <c:v>6980</c:v>
                </c:pt>
                <c:pt idx="4">
                  <c:v>7467</c:v>
                </c:pt>
                <c:pt idx="5">
                  <c:v>8935</c:v>
                </c:pt>
                <c:pt idx="6">
                  <c:v>9287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5.9397999997599982E-2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4F-4F01-8E04-D34B480C9A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3794</c:v>
                </c:pt>
                <c:pt idx="2">
                  <c:v>7293</c:v>
                </c:pt>
                <c:pt idx="3">
                  <c:v>6980</c:v>
                </c:pt>
                <c:pt idx="4">
                  <c:v>7467</c:v>
                </c:pt>
                <c:pt idx="5">
                  <c:v>8935</c:v>
                </c:pt>
                <c:pt idx="6">
                  <c:v>9287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0.33013099999516271</c:v>
                </c:pt>
                <c:pt idx="3">
                  <c:v>0.29155999999784399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4F-4F01-8E04-D34B480C9A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3794</c:v>
                </c:pt>
                <c:pt idx="2">
                  <c:v>7293</c:v>
                </c:pt>
                <c:pt idx="3">
                  <c:v>6980</c:v>
                </c:pt>
                <c:pt idx="4">
                  <c:v>7467</c:v>
                </c:pt>
                <c:pt idx="5">
                  <c:v>8935</c:v>
                </c:pt>
                <c:pt idx="6">
                  <c:v>9287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0.34760900000401307</c:v>
                </c:pt>
                <c:pt idx="5">
                  <c:v>0.55154500000207918</c:v>
                </c:pt>
                <c:pt idx="6">
                  <c:v>0.59742899999400834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4F-4F01-8E04-D34B480C9A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3794</c:v>
                </c:pt>
                <c:pt idx="2">
                  <c:v>7293</c:v>
                </c:pt>
                <c:pt idx="3">
                  <c:v>6980</c:v>
                </c:pt>
                <c:pt idx="4">
                  <c:v>7467</c:v>
                </c:pt>
                <c:pt idx="5">
                  <c:v>8935</c:v>
                </c:pt>
                <c:pt idx="6">
                  <c:v>9287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4F-4F01-8E04-D34B480C9A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3794</c:v>
                </c:pt>
                <c:pt idx="2">
                  <c:v>7293</c:v>
                </c:pt>
                <c:pt idx="3">
                  <c:v>6980</c:v>
                </c:pt>
                <c:pt idx="4">
                  <c:v>7467</c:v>
                </c:pt>
                <c:pt idx="5">
                  <c:v>8935</c:v>
                </c:pt>
                <c:pt idx="6">
                  <c:v>9287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4F-4F01-8E04-D34B480C9A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5.0000000000000001E-4</c:v>
                  </c:pt>
                  <c:pt idx="3">
                    <c:v>4.1999999999999997E-3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3794</c:v>
                </c:pt>
                <c:pt idx="2">
                  <c:v>7293</c:v>
                </c:pt>
                <c:pt idx="3">
                  <c:v>6980</c:v>
                </c:pt>
                <c:pt idx="4">
                  <c:v>7467</c:v>
                </c:pt>
                <c:pt idx="5">
                  <c:v>8935</c:v>
                </c:pt>
                <c:pt idx="6">
                  <c:v>9287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4F-4F01-8E04-D34B480C9A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3794</c:v>
                </c:pt>
                <c:pt idx="2">
                  <c:v>7293</c:v>
                </c:pt>
                <c:pt idx="3">
                  <c:v>6980</c:v>
                </c:pt>
                <c:pt idx="4">
                  <c:v>7467</c:v>
                </c:pt>
                <c:pt idx="5">
                  <c:v>8935</c:v>
                </c:pt>
                <c:pt idx="6">
                  <c:v>9287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-0.13998456191372499</c:v>
                </c:pt>
                <c:pt idx="2">
                  <c:v>0.32975965667700002</c:v>
                </c:pt>
                <c:pt idx="3">
                  <c:v>0.28773909639723527</c:v>
                </c:pt>
                <c:pt idx="4">
                  <c:v>0.35311932916479261</c:v>
                </c:pt>
                <c:pt idx="5">
                  <c:v>0.55019978440662853</c:v>
                </c:pt>
                <c:pt idx="6">
                  <c:v>0.59745613334745029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4F-4F01-8E04-D34B480C9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18136"/>
        <c:axId val="1"/>
      </c:scatterChart>
      <c:valAx>
        <c:axId val="775818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028464263749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18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86485971431787"/>
          <c:y val="0.92000129214617399"/>
          <c:w val="0.8019814107394991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16</xdr:col>
      <xdr:colOff>266700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C25478-7E8B-4950-83E1-F9A25A5C4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4888" TargetMode="External"/><Relationship Id="rId5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1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0" customFormat="1" ht="20.25" x14ac:dyDescent="0.2">
      <c r="A1" s="50" t="s">
        <v>85</v>
      </c>
      <c r="B1" s="22"/>
    </row>
    <row r="2" spans="1:6" s="20" customFormat="1" ht="12.95" customHeight="1" x14ac:dyDescent="0.2">
      <c r="A2" s="20" t="s">
        <v>24</v>
      </c>
      <c r="B2" s="21" t="s">
        <v>35</v>
      </c>
    </row>
    <row r="3" spans="1:6" s="20" customFormat="1" ht="12.95" customHeight="1" x14ac:dyDescent="0.2">
      <c r="B3" s="22"/>
    </row>
    <row r="4" spans="1:6" s="20" customFormat="1" ht="12.95" customHeight="1" thickTop="1" thickBot="1" x14ac:dyDescent="0.25">
      <c r="A4" s="23" t="s">
        <v>0</v>
      </c>
      <c r="B4" s="22"/>
      <c r="C4" s="24">
        <v>36522.267</v>
      </c>
      <c r="D4" s="25">
        <v>2.0511330000000001</v>
      </c>
    </row>
    <row r="5" spans="1:6" s="20" customFormat="1" ht="12.95" customHeight="1" thickTop="1" x14ac:dyDescent="0.2">
      <c r="A5" s="26" t="s">
        <v>36</v>
      </c>
      <c r="C5" s="27">
        <v>-9.5</v>
      </c>
      <c r="D5" s="20" t="s">
        <v>37</v>
      </c>
    </row>
    <row r="6" spans="1:6" s="20" customFormat="1" ht="12.95" customHeight="1" x14ac:dyDescent="0.2">
      <c r="A6" s="23" t="s">
        <v>1</v>
      </c>
      <c r="B6" s="22"/>
    </row>
    <row r="7" spans="1:6" s="20" customFormat="1" ht="12.95" customHeight="1" x14ac:dyDescent="0.2">
      <c r="A7" s="20" t="s">
        <v>2</v>
      </c>
      <c r="B7" s="22"/>
      <c r="C7" s="20">
        <f>+C4</f>
        <v>36522.267</v>
      </c>
    </row>
    <row r="8" spans="1:6" s="20" customFormat="1" ht="12.95" customHeight="1" x14ac:dyDescent="0.2">
      <c r="A8" s="20" t="s">
        <v>3</v>
      </c>
      <c r="B8" s="22"/>
      <c r="C8" s="20">
        <f>+D4</f>
        <v>2.0511330000000001</v>
      </c>
    </row>
    <row r="9" spans="1:6" s="20" customFormat="1" ht="12.95" customHeight="1" x14ac:dyDescent="0.2">
      <c r="A9" s="28" t="s">
        <v>42</v>
      </c>
      <c r="B9" s="29">
        <v>23</v>
      </c>
      <c r="C9" s="30" t="str">
        <f>"F"&amp;B9</f>
        <v>F23</v>
      </c>
      <c r="D9" s="31" t="str">
        <f>"G"&amp;B9</f>
        <v>G23</v>
      </c>
    </row>
    <row r="10" spans="1:6" s="20" customFormat="1" ht="12.95" customHeight="1" thickBot="1" x14ac:dyDescent="0.25">
      <c r="C10" s="32" t="s">
        <v>20</v>
      </c>
      <c r="D10" s="32" t="s">
        <v>21</v>
      </c>
    </row>
    <row r="11" spans="1:6" s="20" customFormat="1" ht="12.95" customHeight="1" x14ac:dyDescent="0.2">
      <c r="A11" s="20" t="s">
        <v>16</v>
      </c>
      <c r="C11" s="31">
        <f ca="1">INTERCEPT(INDIRECT($D$9):G992,INDIRECT($C$9):F992)</f>
        <v>-0.64933282294064998</v>
      </c>
      <c r="D11" s="22"/>
    </row>
    <row r="12" spans="1:6" s="20" customFormat="1" ht="12.95" customHeight="1" x14ac:dyDescent="0.2">
      <c r="A12" s="20" t="s">
        <v>17</v>
      </c>
      <c r="C12" s="31">
        <f ca="1">SLOPE(INDIRECT($D$9):G992,INDIRECT($C$9):F992)</f>
        <v>1.3425099130915261E-4</v>
      </c>
      <c r="D12" s="22"/>
    </row>
    <row r="13" spans="1:6" s="20" customFormat="1" ht="12.95" customHeight="1" x14ac:dyDescent="0.2">
      <c r="A13" s="20" t="s">
        <v>19</v>
      </c>
      <c r="C13" s="22" t="s">
        <v>14</v>
      </c>
    </row>
    <row r="14" spans="1:6" s="20" customFormat="1" ht="12.95" customHeight="1" x14ac:dyDescent="0.2"/>
    <row r="15" spans="1:6" s="20" customFormat="1" ht="12.95" customHeight="1" x14ac:dyDescent="0.2">
      <c r="A15" s="33" t="s">
        <v>18</v>
      </c>
      <c r="C15" s="34">
        <f ca="1">(C7+C11)+(C8+C12)*INT(MAX(F21:F3533))</f>
        <v>55571.736627133345</v>
      </c>
      <c r="E15" s="35" t="s">
        <v>44</v>
      </c>
      <c r="F15" s="27">
        <v>1</v>
      </c>
    </row>
    <row r="16" spans="1:6" s="20" customFormat="1" ht="12.95" customHeight="1" x14ac:dyDescent="0.2">
      <c r="A16" s="23" t="s">
        <v>4</v>
      </c>
      <c r="C16" s="36">
        <f ca="1">+C8+C12</f>
        <v>2.0512672509913092</v>
      </c>
      <c r="E16" s="35" t="s">
        <v>38</v>
      </c>
      <c r="F16" s="37">
        <f ca="1">NOW()+15018.5+$C$5/24</f>
        <v>60376.787610416664</v>
      </c>
    </row>
    <row r="17" spans="1:30" s="20" customFormat="1" ht="12.95" customHeight="1" thickBot="1" x14ac:dyDescent="0.25">
      <c r="A17" s="35" t="s">
        <v>34</v>
      </c>
      <c r="C17" s="20">
        <f>COUNT(C21:C2191)</f>
        <v>7</v>
      </c>
      <c r="E17" s="35" t="s">
        <v>45</v>
      </c>
      <c r="F17" s="37">
        <f ca="1">ROUND(2*(F16-$C$7)/$C$8,0)/2+F15</f>
        <v>11631</v>
      </c>
    </row>
    <row r="18" spans="1:30" s="20" customFormat="1" ht="12.95" customHeight="1" thickTop="1" thickBot="1" x14ac:dyDescent="0.25">
      <c r="A18" s="23" t="s">
        <v>5</v>
      </c>
      <c r="C18" s="24">
        <f ca="1">+C15</f>
        <v>55571.736627133345</v>
      </c>
      <c r="D18" s="25">
        <f ca="1">+C16</f>
        <v>2.0512672509913092</v>
      </c>
      <c r="E18" s="35" t="s">
        <v>39</v>
      </c>
      <c r="F18" s="31">
        <f ca="1">ROUND(2*(F16-$C$15)/$C$16,0)/2+F15</f>
        <v>2343.5</v>
      </c>
    </row>
    <row r="19" spans="1:30" s="20" customFormat="1" ht="12.95" customHeight="1" thickTop="1" x14ac:dyDescent="0.2">
      <c r="B19" s="22"/>
      <c r="E19" s="35" t="s">
        <v>40</v>
      </c>
      <c r="F19" s="38">
        <f ca="1">+$C$15+$C$16*F18-15018.5-$C$5/24</f>
        <v>45360.777263164811</v>
      </c>
    </row>
    <row r="20" spans="1:30" s="20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39" t="s">
        <v>12</v>
      </c>
      <c r="I20" s="39" t="s">
        <v>57</v>
      </c>
      <c r="J20" s="39" t="s">
        <v>51</v>
      </c>
      <c r="K20" s="39" t="s">
        <v>49</v>
      </c>
      <c r="L20" s="39" t="s">
        <v>25</v>
      </c>
      <c r="M20" s="39" t="s">
        <v>26</v>
      </c>
      <c r="N20" s="39" t="s">
        <v>27</v>
      </c>
      <c r="O20" s="39" t="s">
        <v>23</v>
      </c>
      <c r="P20" s="40" t="s">
        <v>22</v>
      </c>
      <c r="Q20" s="32" t="s">
        <v>15</v>
      </c>
    </row>
    <row r="21" spans="1:30" s="20" customFormat="1" ht="12.95" customHeight="1" x14ac:dyDescent="0.2">
      <c r="A21" s="20" t="s">
        <v>12</v>
      </c>
      <c r="B21" s="22"/>
      <c r="C21" s="41">
        <v>36522.267</v>
      </c>
      <c r="D21" s="41" t="s">
        <v>14</v>
      </c>
      <c r="E21" s="20">
        <f t="shared" ref="E21:E26" si="0">+(C21-C$7)/C$8</f>
        <v>0</v>
      </c>
      <c r="F21" s="20">
        <f>ROUND(2*E21,0)/2</f>
        <v>0</v>
      </c>
      <c r="H21" s="31">
        <v>0</v>
      </c>
      <c r="Q21" s="42">
        <f t="shared" ref="Q21:Q26" si="1">+C21-15018.5</f>
        <v>21503.767</v>
      </c>
    </row>
    <row r="22" spans="1:30" s="20" customFormat="1" ht="12.95" customHeight="1" x14ac:dyDescent="0.2">
      <c r="A22" s="20" t="s">
        <v>29</v>
      </c>
      <c r="B22" s="22"/>
      <c r="C22" s="41">
        <v>44304.324999999997</v>
      </c>
      <c r="D22" s="41"/>
      <c r="E22" s="20">
        <f t="shared" si="0"/>
        <v>3794.0289586292047</v>
      </c>
      <c r="F22" s="20">
        <f>ROUND(2*E22,0)/2</f>
        <v>3794</v>
      </c>
      <c r="G22" s="20">
        <f t="shared" ref="G22:G27" si="2">+C22-(C$7+F22*C$8)</f>
        <v>5.9397999997599982E-2</v>
      </c>
      <c r="I22" s="20">
        <f>+G22</f>
        <v>5.9397999997599982E-2</v>
      </c>
      <c r="O22" s="20">
        <f t="shared" ref="O22:O27" ca="1" si="3">+C$11+C$12*$F22</f>
        <v>-0.13998456191372499</v>
      </c>
      <c r="Q22" s="42">
        <f t="shared" si="1"/>
        <v>29285.824999999997</v>
      </c>
      <c r="AA22" s="20">
        <v>8</v>
      </c>
      <c r="AB22" s="20" t="s">
        <v>28</v>
      </c>
      <c r="AD22" s="20" t="s">
        <v>30</v>
      </c>
    </row>
    <row r="23" spans="1:30" s="20" customFormat="1" ht="12.95" customHeight="1" x14ac:dyDescent="0.2">
      <c r="A23" s="20" t="s">
        <v>31</v>
      </c>
      <c r="B23" s="43" t="s">
        <v>32</v>
      </c>
      <c r="C23" s="41">
        <v>51481.5101</v>
      </c>
      <c r="D23" s="41">
        <v>5.0000000000000001E-4</v>
      </c>
      <c r="E23" s="20">
        <f t="shared" si="0"/>
        <v>7293.1609505575698</v>
      </c>
      <c r="F23" s="20">
        <f>ROUND(2*E23,0)/2</f>
        <v>7293</v>
      </c>
      <c r="G23" s="20">
        <f t="shared" si="2"/>
        <v>0.33013099999516271</v>
      </c>
      <c r="J23" s="20">
        <f>+G23</f>
        <v>0.33013099999516271</v>
      </c>
      <c r="O23" s="20">
        <f t="shared" ca="1" si="3"/>
        <v>0.32975965667700002</v>
      </c>
      <c r="Q23" s="42">
        <f t="shared" si="1"/>
        <v>36463.0101</v>
      </c>
    </row>
    <row r="24" spans="1:30" s="20" customFormat="1" ht="12.95" customHeight="1" x14ac:dyDescent="0.2">
      <c r="A24" s="20" t="s">
        <v>33</v>
      </c>
      <c r="B24" s="43" t="s">
        <v>32</v>
      </c>
      <c r="C24" s="41">
        <v>50839.466899999999</v>
      </c>
      <c r="D24" s="41">
        <v>4.1999999999999997E-3</v>
      </c>
      <c r="E24" s="20">
        <f t="shared" si="0"/>
        <v>6980.1421458286704</v>
      </c>
      <c r="F24" s="20">
        <f>ROUND(2*E24,0)/2</f>
        <v>6980</v>
      </c>
      <c r="G24" s="20">
        <f t="shared" si="2"/>
        <v>0.29155999999784399</v>
      </c>
      <c r="J24" s="20">
        <f>+G24</f>
        <v>0.29155999999784399</v>
      </c>
      <c r="O24" s="20">
        <f t="shared" ca="1" si="3"/>
        <v>0.28773909639723527</v>
      </c>
      <c r="Q24" s="42">
        <f t="shared" si="1"/>
        <v>35820.966899999999</v>
      </c>
    </row>
    <row r="25" spans="1:30" s="20" customFormat="1" ht="12.95" customHeight="1" x14ac:dyDescent="0.2">
      <c r="A25" s="44" t="s">
        <v>41</v>
      </c>
      <c r="B25" s="45" t="s">
        <v>32</v>
      </c>
      <c r="C25" s="46">
        <v>51838.424720000003</v>
      </c>
      <c r="D25" s="46">
        <v>2.7000000000000001E-3</v>
      </c>
      <c r="E25" s="20">
        <f t="shared" si="0"/>
        <v>7467.169471701739</v>
      </c>
      <c r="F25" s="20">
        <f>ROUND(2*E25,0)/2</f>
        <v>7467</v>
      </c>
      <c r="G25" s="20">
        <f t="shared" si="2"/>
        <v>0.34760900000401307</v>
      </c>
      <c r="K25" s="20">
        <f>+G25</f>
        <v>0.34760900000401307</v>
      </c>
      <c r="O25" s="20">
        <f t="shared" ca="1" si="3"/>
        <v>0.35311932916479261</v>
      </c>
      <c r="Q25" s="42">
        <f t="shared" si="1"/>
        <v>36819.924720000003</v>
      </c>
    </row>
    <row r="26" spans="1:30" s="20" customFormat="1" ht="12.95" customHeight="1" x14ac:dyDescent="0.2">
      <c r="A26" s="47" t="s">
        <v>43</v>
      </c>
      <c r="B26" s="48" t="s">
        <v>32</v>
      </c>
      <c r="C26" s="47">
        <v>54849.691899999998</v>
      </c>
      <c r="D26" s="47">
        <v>6.9999999999999999E-4</v>
      </c>
      <c r="E26" s="20">
        <f t="shared" si="0"/>
        <v>8935.2688977262806</v>
      </c>
      <c r="F26" s="49">
        <f>ROUND(2*E26,0)/2-0.5</f>
        <v>8935</v>
      </c>
      <c r="G26" s="20">
        <f t="shared" si="2"/>
        <v>0.55154500000207918</v>
      </c>
      <c r="K26" s="20">
        <f>+G26</f>
        <v>0.55154500000207918</v>
      </c>
      <c r="O26" s="20">
        <f t="shared" ca="1" si="3"/>
        <v>0.55019978440662853</v>
      </c>
      <c r="Q26" s="42">
        <f t="shared" si="1"/>
        <v>39831.191899999998</v>
      </c>
    </row>
    <row r="27" spans="1:30" s="20" customFormat="1" ht="12.95" customHeight="1" x14ac:dyDescent="0.2">
      <c r="A27" s="5" t="s">
        <v>46</v>
      </c>
      <c r="B27" s="6" t="s">
        <v>32</v>
      </c>
      <c r="C27" s="5">
        <v>55571.736599999997</v>
      </c>
      <c r="D27" s="5">
        <v>5.0000000000000001E-4</v>
      </c>
      <c r="E27" s="20">
        <f>+(C27-C$7)/C$8</f>
        <v>9287.2912678017437</v>
      </c>
      <c r="F27" s="49">
        <f>ROUND(2*E27,0)/2-0.5</f>
        <v>9287</v>
      </c>
      <c r="G27" s="20">
        <f t="shared" si="2"/>
        <v>0.59742899999400834</v>
      </c>
      <c r="K27" s="20">
        <f>+G27</f>
        <v>0.59742899999400834</v>
      </c>
      <c r="O27" s="20">
        <f t="shared" ca="1" si="3"/>
        <v>0.59745613334745029</v>
      </c>
      <c r="Q27" s="42">
        <f>+C27-15018.5</f>
        <v>40553.236599999997</v>
      </c>
    </row>
    <row r="28" spans="1:30" s="20" customFormat="1" ht="12.95" customHeight="1" x14ac:dyDescent="0.2">
      <c r="B28" s="22"/>
      <c r="C28" s="41"/>
      <c r="D28" s="41"/>
    </row>
    <row r="29" spans="1:30" x14ac:dyDescent="0.2">
      <c r="C29" s="4"/>
      <c r="D29" s="4"/>
    </row>
    <row r="30" spans="1:30" x14ac:dyDescent="0.2">
      <c r="C30" s="2"/>
      <c r="D30" s="2"/>
    </row>
    <row r="31" spans="1:30" x14ac:dyDescent="0.2">
      <c r="C31" s="2"/>
      <c r="D31" s="2"/>
    </row>
    <row r="32" spans="1:30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9"/>
  <sheetViews>
    <sheetView workbookViewId="0">
      <selection activeCell="A11" sqref="A11:IV448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7" t="s">
        <v>47</v>
      </c>
      <c r="I1" s="8" t="s">
        <v>48</v>
      </c>
      <c r="J1" s="9" t="s">
        <v>49</v>
      </c>
    </row>
    <row r="2" spans="1:16" x14ac:dyDescent="0.2">
      <c r="I2" s="10" t="s">
        <v>50</v>
      </c>
      <c r="J2" s="11" t="s">
        <v>51</v>
      </c>
    </row>
    <row r="3" spans="1:16" x14ac:dyDescent="0.2">
      <c r="A3" s="12" t="s">
        <v>52</v>
      </c>
      <c r="I3" s="10" t="s">
        <v>53</v>
      </c>
      <c r="J3" s="11" t="s">
        <v>54</v>
      </c>
    </row>
    <row r="4" spans="1:16" x14ac:dyDescent="0.2">
      <c r="I4" s="10" t="s">
        <v>55</v>
      </c>
      <c r="J4" s="11" t="s">
        <v>54</v>
      </c>
    </row>
    <row r="5" spans="1:16" ht="13.5" thickBot="1" x14ac:dyDescent="0.25">
      <c r="I5" s="13" t="s">
        <v>56</v>
      </c>
      <c r="J5" s="14" t="s">
        <v>57</v>
      </c>
    </row>
    <row r="10" spans="1:16" ht="13.5" thickBot="1" x14ac:dyDescent="0.25"/>
    <row r="11" spans="1:16" ht="12.75" customHeight="1" thickBot="1" x14ac:dyDescent="0.25">
      <c r="A11" s="2" t="str">
        <f>P11</f>
        <v>IBVS 4888 </v>
      </c>
      <c r="B11" s="1" t="str">
        <f>IF(H11=INT(H11),"I","II")</f>
        <v>I</v>
      </c>
      <c r="C11" s="2">
        <f>1*G11</f>
        <v>50839.466899999999</v>
      </c>
      <c r="D11" s="3" t="str">
        <f>VLOOKUP(F11,I$1:J$5,2,FALSE)</f>
        <v>vis</v>
      </c>
      <c r="E11" s="15">
        <f>VLOOKUP(C11,Active!C$21:E$973,3,FALSE)</f>
        <v>6980.1421458286704</v>
      </c>
      <c r="F11" s="1" t="s">
        <v>56</v>
      </c>
      <c r="G11" s="3" t="str">
        <f>MID(I11,3,LEN(I11)-3)</f>
        <v>50839.4669</v>
      </c>
      <c r="H11" s="2">
        <f>1*K11</f>
        <v>6980</v>
      </c>
      <c r="I11" s="16" t="s">
        <v>58</v>
      </c>
      <c r="J11" s="17" t="s">
        <v>59</v>
      </c>
      <c r="K11" s="16">
        <v>6980</v>
      </c>
      <c r="L11" s="16" t="s">
        <v>60</v>
      </c>
      <c r="M11" s="17" t="s">
        <v>61</v>
      </c>
      <c r="N11" s="17" t="s">
        <v>62</v>
      </c>
      <c r="O11" s="18" t="s">
        <v>63</v>
      </c>
      <c r="P11" s="19" t="s">
        <v>64</v>
      </c>
    </row>
    <row r="12" spans="1:16" ht="12.75" customHeight="1" thickBot="1" x14ac:dyDescent="0.25">
      <c r="A12" s="2" t="str">
        <f>P12</f>
        <v>IBVS 5263 </v>
      </c>
      <c r="B12" s="1" t="str">
        <f>IF(H12=INT(H12),"I","II")</f>
        <v>I</v>
      </c>
      <c r="C12" s="2">
        <f>1*G12</f>
        <v>51481.5101</v>
      </c>
      <c r="D12" s="3" t="str">
        <f>VLOOKUP(F12,I$1:J$5,2,FALSE)</f>
        <v>vis</v>
      </c>
      <c r="E12" s="15">
        <f>VLOOKUP(C12,Active!C$21:E$973,3,FALSE)</f>
        <v>7293.1609505575698</v>
      </c>
      <c r="F12" s="1" t="s">
        <v>56</v>
      </c>
      <c r="G12" s="3" t="str">
        <f>MID(I12,3,LEN(I12)-3)</f>
        <v>51481.5101</v>
      </c>
      <c r="H12" s="2">
        <f>1*K12</f>
        <v>7293</v>
      </c>
      <c r="I12" s="16" t="s">
        <v>65</v>
      </c>
      <c r="J12" s="17" t="s">
        <v>66</v>
      </c>
      <c r="K12" s="16">
        <v>7293</v>
      </c>
      <c r="L12" s="16" t="s">
        <v>67</v>
      </c>
      <c r="M12" s="17" t="s">
        <v>61</v>
      </c>
      <c r="N12" s="17" t="s">
        <v>62</v>
      </c>
      <c r="O12" s="18" t="s">
        <v>63</v>
      </c>
      <c r="P12" s="19" t="s">
        <v>68</v>
      </c>
    </row>
    <row r="13" spans="1:16" ht="12.75" customHeight="1" thickBot="1" x14ac:dyDescent="0.25">
      <c r="A13" s="2" t="str">
        <f>P13</f>
        <v>OEJV 0074 </v>
      </c>
      <c r="B13" s="1" t="str">
        <f>IF(H13=INT(H13),"I","II")</f>
        <v>I</v>
      </c>
      <c r="C13" s="2">
        <f>1*G13</f>
        <v>51838.424720000003</v>
      </c>
      <c r="D13" s="3" t="str">
        <f>VLOOKUP(F13,I$1:J$5,2,FALSE)</f>
        <v>vis</v>
      </c>
      <c r="E13" s="15">
        <f>VLOOKUP(C13,Active!C$21:E$973,3,FALSE)</f>
        <v>7467.169471701739</v>
      </c>
      <c r="F13" s="1" t="s">
        <v>56</v>
      </c>
      <c r="G13" s="3" t="str">
        <f>MID(I13,3,LEN(I13)-3)</f>
        <v>51838.42472</v>
      </c>
      <c r="H13" s="2">
        <f>1*K13</f>
        <v>7467</v>
      </c>
      <c r="I13" s="16" t="s">
        <v>69</v>
      </c>
      <c r="J13" s="17" t="s">
        <v>70</v>
      </c>
      <c r="K13" s="16">
        <v>7467</v>
      </c>
      <c r="L13" s="16" t="s">
        <v>71</v>
      </c>
      <c r="M13" s="17" t="s">
        <v>72</v>
      </c>
      <c r="N13" s="17" t="s">
        <v>73</v>
      </c>
      <c r="O13" s="18" t="s">
        <v>74</v>
      </c>
      <c r="P13" s="19" t="s">
        <v>75</v>
      </c>
    </row>
    <row r="14" spans="1:16" ht="12.75" customHeight="1" thickBot="1" x14ac:dyDescent="0.25">
      <c r="A14" s="2" t="str">
        <f>P14</f>
        <v>IBVS 5894 </v>
      </c>
      <c r="B14" s="1" t="str">
        <f>IF(H14=INT(H14),"I","II")</f>
        <v>I</v>
      </c>
      <c r="C14" s="2">
        <f>1*G14</f>
        <v>54849.691899999998</v>
      </c>
      <c r="D14" s="3" t="str">
        <f>VLOOKUP(F14,I$1:J$5,2,FALSE)</f>
        <v>vis</v>
      </c>
      <c r="E14" s="15">
        <f>VLOOKUP(C14,Active!C$21:E$973,3,FALSE)</f>
        <v>8935.2688977262806</v>
      </c>
      <c r="F14" s="1" t="s">
        <v>56</v>
      </c>
      <c r="G14" s="3" t="str">
        <f>MID(I14,3,LEN(I14)-3)</f>
        <v>54849.6919</v>
      </c>
      <c r="H14" s="2">
        <f>1*K14</f>
        <v>8935</v>
      </c>
      <c r="I14" s="16" t="s">
        <v>76</v>
      </c>
      <c r="J14" s="17" t="s">
        <v>77</v>
      </c>
      <c r="K14" s="16">
        <v>8935</v>
      </c>
      <c r="L14" s="16" t="s">
        <v>78</v>
      </c>
      <c r="M14" s="17" t="s">
        <v>72</v>
      </c>
      <c r="N14" s="17" t="s">
        <v>56</v>
      </c>
      <c r="O14" s="18" t="s">
        <v>79</v>
      </c>
      <c r="P14" s="19" t="s">
        <v>80</v>
      </c>
    </row>
    <row r="15" spans="1:16" ht="12.75" customHeight="1" thickBot="1" x14ac:dyDescent="0.25">
      <c r="A15" s="2" t="str">
        <f>P15</f>
        <v>IBVS 5992 </v>
      </c>
      <c r="B15" s="1" t="str">
        <f>IF(H15=INT(H15),"I","II")</f>
        <v>I</v>
      </c>
      <c r="C15" s="2">
        <f>1*G15</f>
        <v>55571.736599999997</v>
      </c>
      <c r="D15" s="3" t="str">
        <f>VLOOKUP(F15,I$1:J$5,2,FALSE)</f>
        <v>vis</v>
      </c>
      <c r="E15" s="15">
        <f>VLOOKUP(C15,Active!C$21:E$973,3,FALSE)</f>
        <v>9287.2912678017437</v>
      </c>
      <c r="F15" s="1" t="s">
        <v>56</v>
      </c>
      <c r="G15" s="3" t="str">
        <f>MID(I15,3,LEN(I15)-3)</f>
        <v>55571.7366</v>
      </c>
      <c r="H15" s="2">
        <f>1*K15</f>
        <v>9287</v>
      </c>
      <c r="I15" s="16" t="s">
        <v>81</v>
      </c>
      <c r="J15" s="17" t="s">
        <v>82</v>
      </c>
      <c r="K15" s="16">
        <v>9287</v>
      </c>
      <c r="L15" s="16" t="s">
        <v>83</v>
      </c>
      <c r="M15" s="17" t="s">
        <v>72</v>
      </c>
      <c r="N15" s="17" t="s">
        <v>56</v>
      </c>
      <c r="O15" s="18" t="s">
        <v>79</v>
      </c>
      <c r="P15" s="19" t="s">
        <v>84</v>
      </c>
    </row>
    <row r="16" spans="1:16" x14ac:dyDescent="0.2">
      <c r="B16" s="1"/>
      <c r="E16" s="15"/>
      <c r="F16" s="1"/>
    </row>
    <row r="17" spans="2:6" x14ac:dyDescent="0.2">
      <c r="B17" s="1"/>
      <c r="E17" s="15"/>
      <c r="F17" s="1"/>
    </row>
    <row r="18" spans="2:6" x14ac:dyDescent="0.2">
      <c r="B18" s="1"/>
      <c r="E18" s="15"/>
      <c r="F18" s="1"/>
    </row>
    <row r="19" spans="2:6" x14ac:dyDescent="0.2">
      <c r="B19" s="1"/>
      <c r="E19" s="15"/>
      <c r="F19" s="1"/>
    </row>
    <row r="20" spans="2:6" x14ac:dyDescent="0.2">
      <c r="B20" s="1"/>
      <c r="E20" s="15"/>
      <c r="F20" s="1"/>
    </row>
    <row r="21" spans="2:6" x14ac:dyDescent="0.2">
      <c r="B21" s="1"/>
      <c r="E21" s="15"/>
      <c r="F21" s="1"/>
    </row>
    <row r="22" spans="2:6" x14ac:dyDescent="0.2">
      <c r="B22" s="1"/>
      <c r="E22" s="15"/>
      <c r="F22" s="1"/>
    </row>
    <row r="23" spans="2:6" x14ac:dyDescent="0.2">
      <c r="B23" s="1"/>
      <c r="E23" s="15"/>
      <c r="F23" s="1"/>
    </row>
    <row r="24" spans="2:6" x14ac:dyDescent="0.2">
      <c r="B24" s="1"/>
      <c r="E24" s="15"/>
      <c r="F24" s="1"/>
    </row>
    <row r="25" spans="2:6" x14ac:dyDescent="0.2">
      <c r="B25" s="1"/>
      <c r="E25" s="15"/>
      <c r="F25" s="1"/>
    </row>
    <row r="26" spans="2:6" x14ac:dyDescent="0.2">
      <c r="B26" s="1"/>
      <c r="E26" s="15"/>
      <c r="F26" s="1"/>
    </row>
    <row r="27" spans="2:6" x14ac:dyDescent="0.2">
      <c r="B27" s="1"/>
      <c r="E27" s="15"/>
      <c r="F27" s="1"/>
    </row>
    <row r="28" spans="2:6" x14ac:dyDescent="0.2">
      <c r="B28" s="1"/>
      <c r="E28" s="15"/>
      <c r="F28" s="1"/>
    </row>
    <row r="29" spans="2:6" x14ac:dyDescent="0.2">
      <c r="B29" s="1"/>
      <c r="E29" s="15"/>
      <c r="F29" s="1"/>
    </row>
    <row r="30" spans="2:6" x14ac:dyDescent="0.2">
      <c r="B30" s="1"/>
      <c r="E30" s="15"/>
      <c r="F30" s="1"/>
    </row>
    <row r="31" spans="2:6" x14ac:dyDescent="0.2">
      <c r="B31" s="1"/>
      <c r="E31" s="15"/>
      <c r="F31" s="1"/>
    </row>
    <row r="32" spans="2:6" x14ac:dyDescent="0.2">
      <c r="B32" s="1"/>
      <c r="F32" s="1"/>
    </row>
    <row r="33" spans="2:6" x14ac:dyDescent="0.2">
      <c r="B33" s="1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</sheetData>
  <phoneticPr fontId="6" type="noConversion"/>
  <hyperlinks>
    <hyperlink ref="P11" r:id="rId1" display="http://www.konkoly.hu/cgi-bin/IBVS?4888"/>
    <hyperlink ref="P12" r:id="rId2" display="http://www.konkoly.hu/cgi-bin/IBVS?5263"/>
    <hyperlink ref="P13" r:id="rId3" display="http://var.astro.cz/oejv/issues/oejv0074.pdf"/>
    <hyperlink ref="P14" r:id="rId4" display="http://www.konkoly.hu/cgi-bin/IBVS?5894"/>
    <hyperlink ref="P15" r:id="rId5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2024-03-07T05:54:09Z</dcterms:modified>
</cp:coreProperties>
</file>