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0C6E8FB-1660-4422-B942-8EADFE618A9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4" i="2" l="1"/>
  <c r="C14" i="2"/>
  <c r="G13" i="2"/>
  <c r="C13" i="2"/>
  <c r="E13" i="2"/>
  <c r="G12" i="2"/>
  <c r="C12" i="2"/>
  <c r="G11" i="2"/>
  <c r="C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G11" i="1"/>
  <c r="F11" i="1"/>
  <c r="E15" i="1"/>
  <c r="C17" i="1"/>
  <c r="Q23" i="1"/>
  <c r="Q24" i="1"/>
  <c r="Q25" i="1"/>
  <c r="Q26" i="1"/>
  <c r="Q22" i="1"/>
  <c r="C8" i="1"/>
  <c r="E23" i="1"/>
  <c r="F23" i="1"/>
  <c r="I23" i="1" s="1"/>
  <c r="C7" i="1"/>
  <c r="Q21" i="1"/>
  <c r="E22" i="1"/>
  <c r="F22" i="1" s="1"/>
  <c r="G22" i="1" s="1"/>
  <c r="I22" i="1" s="1"/>
  <c r="E21" i="1"/>
  <c r="F21" i="1"/>
  <c r="G21" i="1"/>
  <c r="H21" i="1"/>
  <c r="E26" i="1"/>
  <c r="F26" i="1"/>
  <c r="G26" i="1" s="1"/>
  <c r="I26" i="1" s="1"/>
  <c r="E24" i="1"/>
  <c r="F24" i="1"/>
  <c r="I24" i="1"/>
  <c r="E25" i="1"/>
  <c r="F25" i="1"/>
  <c r="G25" i="1" s="1"/>
  <c r="I25" i="1" s="1"/>
  <c r="E14" i="2"/>
  <c r="E12" i="2"/>
  <c r="E11" i="2"/>
  <c r="C11" i="1"/>
  <c r="C12" i="1"/>
  <c r="C16" i="1" l="1"/>
  <c r="D18" i="1" s="1"/>
  <c r="O26" i="1"/>
  <c r="O22" i="1"/>
  <c r="O21" i="1"/>
  <c r="O23" i="1"/>
  <c r="O24" i="1"/>
  <c r="O25" i="1"/>
  <c r="C15" i="1"/>
  <c r="E16" i="1" s="1"/>
  <c r="E17" i="1" l="1"/>
  <c r="C18" i="1"/>
</calcChain>
</file>

<file path=xl/sharedStrings.xml><?xml version="1.0" encoding="utf-8"?>
<sst xmlns="http://schemas.openxmlformats.org/spreadsheetml/2006/main" count="96" uniqueCount="77">
  <si>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</si>
  <si>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</si>
  <si>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</si>
  <si>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</si>
  <si>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</si>
  <si>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</si>
  <si>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</si>
  <si>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</si>
  <si>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</si>
  <si>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</si>
  <si>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</si>
  <si>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</si>
  <si>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</si>
  <si>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</si>
  <si>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</si>
  <si>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</si>
  <si>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</si>
  <si>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</si>
  <si>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</si>
  <si>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</si>
  <si>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</si>
  <si>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</si>
  <si>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</si>
  <si>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</si>
  <si>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</si>
  <si>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</si>
  <si>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</si>
  <si>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</si>
  <si>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</si>
  <si>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Bull.101</t>
  </si>
  <si>
    <t>B</t>
  </si>
  <si>
    <t>ROTSE (noisy/blended)</t>
  </si>
  <si>
    <t>II?</t>
  </si>
  <si>
    <t>I?</t>
  </si>
  <si>
    <t>EB/D</t>
  </si>
  <si>
    <t># of data points:</t>
  </si>
  <si>
    <t>OEJV 0060</t>
  </si>
  <si>
    <t>II</t>
  </si>
  <si>
    <t>vis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</si>
  <si>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</si>
  <si>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</si>
  <si>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</si>
  <si>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</si>
  <si>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</si>
  <si>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</si>
  <si>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</si>
  <si>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</si>
  <si>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</si>
  <si>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</si>
  <si>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</si>
  <si>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</si>
  <si>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</si>
  <si>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</si>
  <si>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</si>
  <si>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</si>
  <si>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</si>
  <si>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2437016.357 </t>
  </si>
  <si>
    <t> 22.03.1960 20:34 </t>
  </si>
  <si>
    <t> 0.000 </t>
  </si>
  <si>
    <t>V </t>
  </si>
  <si>
    <t> R.Szafraniec </t>
  </si>
  <si>
    <t> AA 26.42 </t>
  </si>
  <si>
    <t>2448699.320 </t>
  </si>
  <si>
    <t> 17.03.1992 19:40 </t>
  </si>
  <si>
    <t> 0.035 </t>
  </si>
  <si>
    <t> H.Peter </t>
  </si>
  <si>
    <t> BBS 101 </t>
  </si>
  <si>
    <t>2449688.607 </t>
  </si>
  <si>
    <t> 02.12.1994 02:34 </t>
  </si>
  <si>
    <t> 0.034 </t>
  </si>
  <si>
    <t> P.Molik </t>
  </si>
  <si>
    <t>OEJV 0060 </t>
  </si>
  <si>
    <t>2449702.454 </t>
  </si>
  <si>
    <t> 15.12.1994 22:53 </t>
  </si>
  <si>
    <t> -0.011 </t>
  </si>
  <si>
    <t>V0726 Tau / GSC 01312-02150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</si>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</sst>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V0726 Tau - O-C Diagr.</a:t>
            </a:r>
          </a:p>
        </c:rich>
      </c:tx>
      <c:layout>
        <c:manualLayout>
          <c:xMode val="edge"/>
          <c:yMode val="edge"/>
          <c:x val="0.3264467148218042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67-4041-96A9-4F4189BC71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3.4889999995357357E-2</c:v>
                </c:pt>
                <c:pt idx="2">
                  <c:v>3.3685000002151355E-2</c:v>
                </c:pt>
                <c:pt idx="3">
                  <c:v>-1.102500000706641E-2</c:v>
                </c:pt>
                <c:pt idx="4">
                  <c:v>0.18344499999511754</c:v>
                </c:pt>
                <c:pt idx="5">
                  <c:v>0.18667999999161111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67-4041-96A9-4F4189BC71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67-4041-96A9-4F4189BC71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67-4041-96A9-4F4189BC71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67-4041-96A9-4F4189BC71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67-4041-96A9-4F4189BC71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67-4041-96A9-4F4189BC71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5887</c:v>
                </c:pt>
                <c:pt idx="2">
                  <c:v>6385.5</c:v>
                </c:pt>
                <c:pt idx="3">
                  <c:v>6392.5</c:v>
                </c:pt>
                <c:pt idx="4">
                  <c:v>7273.5</c:v>
                </c:pt>
                <c:pt idx="5">
                  <c:v>7294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-0.59811008490678419</c:v>
                </c:pt>
                <c:pt idx="1">
                  <c:v>3.4882435782221055E-2</c:v>
                </c:pt>
                <c:pt idx="2">
                  <c:v>8.8483042468728401E-2</c:v>
                </c:pt>
                <c:pt idx="3">
                  <c:v>8.923570896181876E-2</c:v>
                </c:pt>
                <c:pt idx="4">
                  <c:v>0.1839641633064788</c:v>
                </c:pt>
                <c:pt idx="5">
                  <c:v>0.18616840089338638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67-4041-96A9-4F4189BC7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54624"/>
        <c:axId val="1"/>
      </c:scatterChart>
      <c:valAx>
        <c:axId val="76855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5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330578512396695E-2"/>
          <c:y val="0.91874999999999996"/>
          <c:w val="0.981406043252857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0</xdr:row>
      <xdr:rowOff>0</xdr:rowOff>
    </xdr:from>
    <xdr:to>
      <xdr:col>18</xdr:col>
      <xdr:colOff>219074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3A44C2-9D76-7E44-3E87-FF6FC5DAA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060.pdf" TargetMode="External"/><Relationship Id="rId1" Type="http://schemas.openxmlformats.org/officeDocument/2006/relationships/hyperlink" Target="http://var.astro.cz/oejv/issues/oejv00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7" t="s">
        <v>75</v>
      </c>
    </row>
    <row r="2" spans="1:7" s="19" customFormat="1" ht="12.95" customHeight="1" x14ac:dyDescent="0.2">
      <c r="A2" s="19" t="s">
        <v>24</v>
      </c>
      <c r="B2" s="20" t="s">
        <v>34</v>
      </c>
    </row>
    <row r="3" spans="1:7" s="19" customFormat="1" ht="12.95" customHeight="1" x14ac:dyDescent="0.2"/>
    <row r="4" spans="1:7" s="19" customFormat="1" ht="12.95" customHeight="1" x14ac:dyDescent="0.2">
      <c r="A4" s="21" t="s">
        <v>0</v>
      </c>
      <c r="C4" s="22">
        <v>37016.357000000004</v>
      </c>
      <c r="D4" s="23">
        <v>1.9845299999999999</v>
      </c>
    </row>
    <row r="5" spans="1:7" s="19" customFormat="1" ht="12.95" customHeight="1" x14ac:dyDescent="0.2"/>
    <row r="6" spans="1:7" s="19" customFormat="1" ht="12.95" customHeight="1" x14ac:dyDescent="0.2">
      <c r="A6" s="21" t="s">
        <v>1</v>
      </c>
    </row>
    <row r="7" spans="1:7" s="19" customFormat="1" ht="12.95" customHeight="1" x14ac:dyDescent="0.2">
      <c r="A7" s="19" t="s">
        <v>2</v>
      </c>
      <c r="C7" s="19">
        <f>+C4</f>
        <v>37016.357000000004</v>
      </c>
    </row>
    <row r="8" spans="1:7" s="19" customFormat="1" ht="12.95" customHeight="1" x14ac:dyDescent="0.2">
      <c r="A8" s="19" t="s">
        <v>3</v>
      </c>
      <c r="C8" s="19">
        <f>+D4</f>
        <v>1.9845299999999999</v>
      </c>
    </row>
    <row r="9" spans="1:7" s="19" customFormat="1" ht="12.95" customHeight="1" x14ac:dyDescent="0.2">
      <c r="A9" s="24" t="s">
        <v>39</v>
      </c>
      <c r="C9" s="25">
        <v>-9.5</v>
      </c>
      <c r="D9" s="19" t="s">
        <v>40</v>
      </c>
    </row>
    <row r="10" spans="1:7" s="19" customFormat="1" ht="12.95" customHeight="1" thickBot="1" x14ac:dyDescent="0.25">
      <c r="C10" s="26" t="s">
        <v>20</v>
      </c>
      <c r="D10" s="26" t="s">
        <v>21</v>
      </c>
    </row>
    <row r="11" spans="1:7" s="19" customFormat="1" ht="12.95" customHeight="1" x14ac:dyDescent="0.2">
      <c r="A11" s="19" t="s">
        <v>16</v>
      </c>
      <c r="C11" s="27">
        <f ca="1">INTERCEPT(INDIRECT($G$11):G992,INDIRECT($F$11):F992)</f>
        <v>-0.59811008490678419</v>
      </c>
      <c r="D11" s="28"/>
      <c r="F11" s="29" t="str">
        <f>"F"&amp;E19</f>
        <v>F22</v>
      </c>
      <c r="G11" s="27" t="str">
        <f>"G"&amp;E19</f>
        <v>G22</v>
      </c>
    </row>
    <row r="12" spans="1:7" s="19" customFormat="1" ht="12.95" customHeight="1" x14ac:dyDescent="0.2">
      <c r="A12" s="19" t="s">
        <v>17</v>
      </c>
      <c r="C12" s="27">
        <f ca="1">SLOPE(INDIRECT($G$11):G992,INDIRECT($F$11):F992)</f>
        <v>1.075237847271964E-4</v>
      </c>
      <c r="D12" s="28"/>
    </row>
    <row r="13" spans="1:7" s="19" customFormat="1" ht="12.95" customHeight="1" x14ac:dyDescent="0.2">
      <c r="A13" s="19" t="s">
        <v>19</v>
      </c>
      <c r="C13" s="28" t="s">
        <v>14</v>
      </c>
      <c r="D13" s="28"/>
    </row>
    <row r="14" spans="1:7" s="19" customFormat="1" ht="12.95" customHeight="1" x14ac:dyDescent="0.2"/>
    <row r="15" spans="1:7" s="19" customFormat="1" ht="12.95" customHeight="1" x14ac:dyDescent="0.2">
      <c r="A15" s="30" t="s">
        <v>18</v>
      </c>
      <c r="C15" s="31">
        <f ca="1">(C7+C11)+(C8+C12)*INT(MAX(F21:F3533))</f>
        <v>51491.704988400896</v>
      </c>
      <c r="D15" s="32" t="s">
        <v>41</v>
      </c>
      <c r="E15" s="33">
        <f ca="1">TODAY()+15018.5-B9/24</f>
        <v>60376.5</v>
      </c>
    </row>
    <row r="16" spans="1:7" s="19" customFormat="1" ht="12.95" customHeight="1" x14ac:dyDescent="0.2">
      <c r="A16" s="21" t="s">
        <v>4</v>
      </c>
      <c r="C16" s="34">
        <f ca="1">+C8+C12</f>
        <v>1.9846375237847271</v>
      </c>
      <c r="D16" s="32" t="s">
        <v>42</v>
      </c>
      <c r="E16" s="33">
        <f ca="1">ROUND(2*(E15-C15)/C16,0)/2+1</f>
        <v>4478</v>
      </c>
    </row>
    <row r="17" spans="1:31" s="19" customFormat="1" ht="12.95" customHeight="1" thickBot="1" x14ac:dyDescent="0.25">
      <c r="A17" s="32" t="s">
        <v>35</v>
      </c>
      <c r="C17" s="19">
        <f>COUNT(C21:C2191)</f>
        <v>6</v>
      </c>
      <c r="D17" s="32" t="s">
        <v>43</v>
      </c>
      <c r="E17" s="35">
        <f ca="1">+C15+C16*E16-15018.5-C9/24</f>
        <v>45360.807653242242</v>
      </c>
    </row>
    <row r="18" spans="1:31" s="19" customFormat="1" ht="12.95" customHeight="1" x14ac:dyDescent="0.2">
      <c r="A18" s="21" t="s">
        <v>5</v>
      </c>
      <c r="C18" s="22">
        <f ca="1">+C15</f>
        <v>51491.704988400896</v>
      </c>
      <c r="D18" s="23">
        <f ca="1">+C16</f>
        <v>1.9846375237847271</v>
      </c>
      <c r="E18" s="36" t="s">
        <v>44</v>
      </c>
    </row>
    <row r="19" spans="1:31" s="19" customFormat="1" ht="12.95" customHeight="1" thickTop="1" x14ac:dyDescent="0.2">
      <c r="A19" s="37" t="s">
        <v>45</v>
      </c>
      <c r="E19" s="38">
        <v>22</v>
      </c>
    </row>
    <row r="20" spans="1:31" s="19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13</v>
      </c>
      <c r="E20" s="26" t="s">
        <v>9</v>
      </c>
      <c r="F20" s="26" t="s">
        <v>10</v>
      </c>
      <c r="G20" s="26" t="s">
        <v>11</v>
      </c>
      <c r="H20" s="39" t="s">
        <v>12</v>
      </c>
      <c r="I20" s="39" t="s">
        <v>76</v>
      </c>
      <c r="J20" s="39" t="s">
        <v>50</v>
      </c>
      <c r="K20" s="39" t="s">
        <v>48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26" t="s">
        <v>15</v>
      </c>
    </row>
    <row r="21" spans="1:31" s="19" customFormat="1" ht="12.95" customHeight="1" x14ac:dyDescent="0.2">
      <c r="A21" s="19" t="s">
        <v>12</v>
      </c>
      <c r="C21" s="41">
        <v>37016.357000000004</v>
      </c>
      <c r="D21" s="41" t="s">
        <v>14</v>
      </c>
      <c r="E21" s="19">
        <f>+(C21-C$7)/C$8</f>
        <v>0</v>
      </c>
      <c r="F21" s="19">
        <f>ROUND(2*E21,0)/2</f>
        <v>0</v>
      </c>
      <c r="G21" s="19">
        <f>+C21-(C$7+F21*C$8)</f>
        <v>0</v>
      </c>
      <c r="H21" s="19">
        <f>+G21</f>
        <v>0</v>
      </c>
      <c r="O21" s="19">
        <f ca="1">+C$11+C$12*$F21</f>
        <v>-0.59811008490678419</v>
      </c>
      <c r="Q21" s="42">
        <f>+C21-15018.5</f>
        <v>21997.857000000004</v>
      </c>
    </row>
    <row r="22" spans="1:31" s="19" customFormat="1" ht="12.95" customHeight="1" x14ac:dyDescent="0.2">
      <c r="A22" s="19" t="s">
        <v>29</v>
      </c>
      <c r="C22" s="41">
        <v>48699.32</v>
      </c>
      <c r="D22" s="41">
        <v>6.0000000000000001E-3</v>
      </c>
      <c r="E22" s="19">
        <f>+(C22-C$7)/C$8</f>
        <v>5887.0175809889479</v>
      </c>
      <c r="F22" s="19">
        <f>ROUND(2*E22,0)/2</f>
        <v>5887</v>
      </c>
      <c r="G22" s="19">
        <f>+C22-(C$7+F22*C$8)</f>
        <v>3.4889999995357357E-2</v>
      </c>
      <c r="I22" s="19">
        <f>+G22</f>
        <v>3.4889999995357357E-2</v>
      </c>
      <c r="O22" s="19">
        <f ca="1">+C$11+C$12*$F22</f>
        <v>3.4882435782221055E-2</v>
      </c>
      <c r="Q22" s="42">
        <f>+C22-15018.5</f>
        <v>33680.82</v>
      </c>
      <c r="AA22" s="19">
        <v>9</v>
      </c>
      <c r="AC22" s="19" t="s">
        <v>28</v>
      </c>
      <c r="AE22" s="19" t="s">
        <v>30</v>
      </c>
    </row>
    <row r="23" spans="1:31" s="19" customFormat="1" ht="12.95" customHeight="1" x14ac:dyDescent="0.2">
      <c r="A23" s="43" t="s">
        <v>36</v>
      </c>
      <c r="B23" s="44" t="s">
        <v>37</v>
      </c>
      <c r="C23" s="45">
        <v>49688.607000000004</v>
      </c>
      <c r="D23" s="46" t="s">
        <v>38</v>
      </c>
      <c r="E23" s="19">
        <f>+(C23-C$7)/C$8</f>
        <v>6385.5169737922834</v>
      </c>
      <c r="F23" s="19">
        <f>ROUND(2*E23,0)/2</f>
        <v>6385.5</v>
      </c>
      <c r="I23" s="19">
        <f>+C23-(C$7+F23*C$8)</f>
        <v>3.3685000002151355E-2</v>
      </c>
      <c r="O23" s="19">
        <f ca="1">+C$11+C$12*$F23</f>
        <v>8.8483042468728401E-2</v>
      </c>
      <c r="Q23" s="42">
        <f>+C23-15018.5</f>
        <v>34670.107000000004</v>
      </c>
    </row>
    <row r="24" spans="1:31" s="19" customFormat="1" ht="12.95" customHeight="1" x14ac:dyDescent="0.2">
      <c r="A24" s="43" t="s">
        <v>36</v>
      </c>
      <c r="B24" s="44" t="s">
        <v>37</v>
      </c>
      <c r="C24" s="45">
        <v>49702.453999999998</v>
      </c>
      <c r="D24" s="46" t="s">
        <v>38</v>
      </c>
      <c r="E24" s="19">
        <f>+(C24-C$7)/C$8</f>
        <v>6392.4944445284245</v>
      </c>
      <c r="F24" s="19">
        <f>ROUND(2*E24,0)/2</f>
        <v>6392.5</v>
      </c>
      <c r="I24" s="19">
        <f>+C24-(C$7+F24*C$8)</f>
        <v>-1.102500000706641E-2</v>
      </c>
      <c r="O24" s="19">
        <f ca="1">+C$11+C$12*$F24</f>
        <v>8.923570896181876E-2</v>
      </c>
      <c r="Q24" s="42">
        <f>+C24-15018.5</f>
        <v>34683.953999999998</v>
      </c>
    </row>
    <row r="25" spans="1:31" s="19" customFormat="1" ht="12.95" customHeight="1" x14ac:dyDescent="0.2">
      <c r="A25" s="19" t="s">
        <v>31</v>
      </c>
      <c r="B25" s="19" t="s">
        <v>32</v>
      </c>
      <c r="C25" s="41">
        <v>51451.019399999997</v>
      </c>
      <c r="D25" s="41"/>
      <c r="E25" s="19">
        <f>+(C25-C$7)/C$8</f>
        <v>7273.5924375040913</v>
      </c>
      <c r="F25" s="19">
        <f>ROUND(2*E25,0)/2</f>
        <v>7273.5</v>
      </c>
      <c r="G25" s="19">
        <f>+C25-(C$7+F25*C$8)</f>
        <v>0.18344499999511754</v>
      </c>
      <c r="I25" s="19">
        <f>G25</f>
        <v>0.18344499999511754</v>
      </c>
      <c r="O25" s="19">
        <f ca="1">+C$11+C$12*$F25</f>
        <v>0.1839641633064788</v>
      </c>
      <c r="Q25" s="42">
        <f>+C25-15018.5</f>
        <v>36432.519399999997</v>
      </c>
    </row>
    <row r="26" spans="1:31" s="19" customFormat="1" ht="12.95" customHeight="1" x14ac:dyDescent="0.2">
      <c r="A26" s="19" t="s">
        <v>31</v>
      </c>
      <c r="B26" s="19" t="s">
        <v>33</v>
      </c>
      <c r="C26" s="41">
        <v>51491.705499999996</v>
      </c>
      <c r="D26" s="41"/>
      <c r="E26" s="19">
        <f>+(C26-C$7)/C$8</f>
        <v>7294.0940676129831</v>
      </c>
      <c r="F26" s="19">
        <f>ROUND(2*E26,0)/2</f>
        <v>7294</v>
      </c>
      <c r="G26" s="19">
        <f>+C26-(C$7+F26*C$8)</f>
        <v>0.18667999999161111</v>
      </c>
      <c r="I26" s="19">
        <f>G26</f>
        <v>0.18667999999161111</v>
      </c>
      <c r="O26" s="19">
        <f ca="1">+C$11+C$12*$F26</f>
        <v>0.18616840089338638</v>
      </c>
      <c r="Q26" s="42">
        <f>+C26-15018.5</f>
        <v>36473.205499999996</v>
      </c>
    </row>
    <row r="27" spans="1:31" x14ac:dyDescent="0.2">
      <c r="C27" s="4"/>
      <c r="D27" s="4"/>
      <c r="Q27" s="1"/>
    </row>
    <row r="28" spans="1:31" x14ac:dyDescent="0.2">
      <c r="C28" s="4"/>
      <c r="D28" s="4"/>
    </row>
    <row r="29" spans="1:31" x14ac:dyDescent="0.2">
      <c r="C29" s="4"/>
      <c r="D29" s="4"/>
    </row>
    <row r="30" spans="1:31" x14ac:dyDescent="0.2">
      <c r="C30" s="4"/>
      <c r="D30" s="4"/>
    </row>
    <row r="31" spans="1:31" x14ac:dyDescent="0.2">
      <c r="C31" s="4"/>
      <c r="D31" s="4"/>
    </row>
    <row r="32" spans="1:31" x14ac:dyDescent="0.2">
      <c r="C32" s="4"/>
      <c r="D32" s="4"/>
    </row>
    <row r="33" spans="3:4" x14ac:dyDescent="0.2">
      <c r="C33" s="4"/>
      <c r="D33" s="4"/>
    </row>
    <row r="34" spans="3:4" x14ac:dyDescent="0.2">
      <c r="D34" s="2"/>
    </row>
    <row r="35" spans="3:4" x14ac:dyDescent="0.2">
      <c r="D35" s="2"/>
    </row>
    <row r="36" spans="3:4" x14ac:dyDescent="0.2">
      <c r="D36" s="2"/>
    </row>
    <row r="37" spans="3:4" x14ac:dyDescent="0.2">
      <c r="D37" s="2"/>
    </row>
    <row r="38" spans="3:4" x14ac:dyDescent="0.2">
      <c r="D38" s="2"/>
    </row>
    <row r="39" spans="3:4" x14ac:dyDescent="0.2">
      <c r="D39" s="2"/>
    </row>
    <row r="40" spans="3:4" x14ac:dyDescent="0.2">
      <c r="D40" s="2"/>
    </row>
    <row r="41" spans="3:4" x14ac:dyDescent="0.2">
      <c r="D41" s="2"/>
    </row>
    <row r="42" spans="3:4" x14ac:dyDescent="0.2">
      <c r="D42" s="2"/>
    </row>
    <row r="43" spans="3:4" x14ac:dyDescent="0.2">
      <c r="D43" s="2"/>
    </row>
    <row r="44" spans="3:4" x14ac:dyDescent="0.2">
      <c r="D44" s="2"/>
    </row>
    <row r="45" spans="3:4" x14ac:dyDescent="0.2">
      <c r="D45" s="2"/>
    </row>
    <row r="46" spans="3:4" x14ac:dyDescent="0.2">
      <c r="D46" s="2"/>
    </row>
  </sheetData>
  <sortState xmlns:xlrd2="http://schemas.microsoft.com/office/spreadsheetml/2017/richdata2" ref="A21:S31">
    <sortCondition ref="C21:C31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8"/>
  <sheetViews>
    <sheetView workbookViewId="0">
      <selection activeCell="A11" sqref="A11:IV448"/>
    </sheetView>
  </sheetViews>
  <sheetFormatPr defaultRowHeight="12.75" x14ac:dyDescent="0.2"/>
  <cols>
    <col min="1" max="1" width="19.7109375" style="6" customWidth="1"/>
    <col min="2" max="2" width="4.42578125" style="3" customWidth="1"/>
    <col min="3" max="3" width="12.7109375" style="6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6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46</v>
      </c>
      <c r="I1" s="7" t="s">
        <v>47</v>
      </c>
      <c r="J1" s="8" t="s">
        <v>48</v>
      </c>
    </row>
    <row r="2" spans="1:16" x14ac:dyDescent="0.2">
      <c r="I2" s="9" t="s">
        <v>49</v>
      </c>
      <c r="J2" s="10" t="s">
        <v>50</v>
      </c>
    </row>
    <row r="3" spans="1:16" x14ac:dyDescent="0.2">
      <c r="A3" s="11" t="s">
        <v>51</v>
      </c>
      <c r="I3" s="9" t="s">
        <v>52</v>
      </c>
      <c r="J3" s="10" t="s">
        <v>53</v>
      </c>
    </row>
    <row r="4" spans="1:16" x14ac:dyDescent="0.2">
      <c r="I4" s="9" t="s">
        <v>54</v>
      </c>
      <c r="J4" s="10" t="s">
        <v>53</v>
      </c>
    </row>
    <row r="5" spans="1:16" ht="13.5" thickBot="1" x14ac:dyDescent="0.25">
      <c r="I5" s="12" t="s">
        <v>55</v>
      </c>
      <c r="J5" s="13" t="s">
        <v>38</v>
      </c>
    </row>
    <row r="10" spans="1:16" ht="13.5" thickBot="1" x14ac:dyDescent="0.25"/>
    <row r="11" spans="1:16" ht="12.75" customHeight="1" thickBot="1" x14ac:dyDescent="0.25">
      <c r="A11" s="6" t="str">
        <f>P11</f>
        <v> AA 26.42 </v>
      </c>
      <c r="B11" s="2" t="str">
        <f>IF(H11=INT(H11),"I","II")</f>
        <v>I</v>
      </c>
      <c r="C11" s="6">
        <f>1*G11</f>
        <v>37016.357000000004</v>
      </c>
      <c r="D11" s="3" t="str">
        <f>VLOOKUP(F11,I$1:J$5,2,FALSE)</f>
        <v>vis</v>
      </c>
      <c r="E11" s="14">
        <f>VLOOKUP(C11,Active!C$21:E$973,3,FALSE)</f>
        <v>0</v>
      </c>
      <c r="F11" s="2" t="s">
        <v>55</v>
      </c>
      <c r="G11" s="3" t="str">
        <f>MID(I11,3,LEN(I11)-3)</f>
        <v>37016.357</v>
      </c>
      <c r="H11" s="6">
        <f>1*K11</f>
        <v>0</v>
      </c>
      <c r="I11" s="15" t="s">
        <v>56</v>
      </c>
      <c r="J11" s="16" t="s">
        <v>57</v>
      </c>
      <c r="K11" s="15">
        <v>0</v>
      </c>
      <c r="L11" s="15" t="s">
        <v>58</v>
      </c>
      <c r="M11" s="16" t="s">
        <v>59</v>
      </c>
      <c r="N11" s="16"/>
      <c r="O11" s="17" t="s">
        <v>60</v>
      </c>
      <c r="P11" s="17" t="s">
        <v>61</v>
      </c>
    </row>
    <row r="12" spans="1:16" ht="12.75" customHeight="1" thickBot="1" x14ac:dyDescent="0.25">
      <c r="A12" s="6" t="str">
        <f>P12</f>
        <v> BBS 101 </v>
      </c>
      <c r="B12" s="2" t="str">
        <f>IF(H12=INT(H12),"I","II")</f>
        <v>I</v>
      </c>
      <c r="C12" s="6">
        <f>1*G12</f>
        <v>48699.32</v>
      </c>
      <c r="D12" s="3" t="str">
        <f>VLOOKUP(F12,I$1:J$5,2,FALSE)</f>
        <v>vis</v>
      </c>
      <c r="E12" s="14">
        <f>VLOOKUP(C12,Active!C$21:E$973,3,FALSE)</f>
        <v>5887.0175809889479</v>
      </c>
      <c r="F12" s="2" t="s">
        <v>55</v>
      </c>
      <c r="G12" s="3" t="str">
        <f>MID(I12,3,LEN(I12)-3)</f>
        <v>48699.320</v>
      </c>
      <c r="H12" s="6">
        <f>1*K12</f>
        <v>5887</v>
      </c>
      <c r="I12" s="15" t="s">
        <v>62</v>
      </c>
      <c r="J12" s="16" t="s">
        <v>63</v>
      </c>
      <c r="K12" s="15">
        <v>5887</v>
      </c>
      <c r="L12" s="15" t="s">
        <v>64</v>
      </c>
      <c r="M12" s="16" t="s">
        <v>59</v>
      </c>
      <c r="N12" s="16"/>
      <c r="O12" s="17" t="s">
        <v>65</v>
      </c>
      <c r="P12" s="17" t="s">
        <v>66</v>
      </c>
    </row>
    <row r="13" spans="1:16" ht="12.75" customHeight="1" thickBot="1" x14ac:dyDescent="0.25">
      <c r="A13" s="6" t="str">
        <f>P13</f>
        <v>OEJV 0060 </v>
      </c>
      <c r="B13" s="2" t="str">
        <f>IF(H13=INT(H13),"I","II")</f>
        <v>II</v>
      </c>
      <c r="C13" s="6">
        <f>1*G13</f>
        <v>49688.607000000004</v>
      </c>
      <c r="D13" s="3" t="str">
        <f>VLOOKUP(F13,I$1:J$5,2,FALSE)</f>
        <v>vis</v>
      </c>
      <c r="E13" s="14">
        <f>VLOOKUP(C13,Active!C$21:E$973,3,FALSE)</f>
        <v>6385.5169737922834</v>
      </c>
      <c r="F13" s="2" t="s">
        <v>55</v>
      </c>
      <c r="G13" s="3" t="str">
        <f>MID(I13,3,LEN(I13)-3)</f>
        <v>49688.607</v>
      </c>
      <c r="H13" s="6">
        <f>1*K13</f>
        <v>6385.5</v>
      </c>
      <c r="I13" s="15" t="s">
        <v>67</v>
      </c>
      <c r="J13" s="16" t="s">
        <v>68</v>
      </c>
      <c r="K13" s="15">
        <v>6385.5</v>
      </c>
      <c r="L13" s="15" t="s">
        <v>69</v>
      </c>
      <c r="M13" s="16" t="s">
        <v>59</v>
      </c>
      <c r="N13" s="16"/>
      <c r="O13" s="17" t="s">
        <v>70</v>
      </c>
      <c r="P13" s="18" t="s">
        <v>71</v>
      </c>
    </row>
    <row r="14" spans="1:16" ht="12.75" customHeight="1" thickBot="1" x14ac:dyDescent="0.25">
      <c r="A14" s="6" t="str">
        <f>P14</f>
        <v>OEJV 0060 </v>
      </c>
      <c r="B14" s="2" t="str">
        <f>IF(H14=INT(H14),"I","II")</f>
        <v>II</v>
      </c>
      <c r="C14" s="6">
        <f>1*G14</f>
        <v>49702.453999999998</v>
      </c>
      <c r="D14" s="3" t="str">
        <f>VLOOKUP(F14,I$1:J$5,2,FALSE)</f>
        <v>vis</v>
      </c>
      <c r="E14" s="14">
        <f>VLOOKUP(C14,Active!C$21:E$973,3,FALSE)</f>
        <v>6392.4944445284245</v>
      </c>
      <c r="F14" s="2" t="s">
        <v>55</v>
      </c>
      <c r="G14" s="3" t="str">
        <f>MID(I14,3,LEN(I14)-3)</f>
        <v>49702.454</v>
      </c>
      <c r="H14" s="6">
        <f>1*K14</f>
        <v>6392.5</v>
      </c>
      <c r="I14" s="15" t="s">
        <v>72</v>
      </c>
      <c r="J14" s="16" t="s">
        <v>73</v>
      </c>
      <c r="K14" s="15">
        <v>6392.5</v>
      </c>
      <c r="L14" s="15" t="s">
        <v>74</v>
      </c>
      <c r="M14" s="16" t="s">
        <v>59</v>
      </c>
      <c r="N14" s="16"/>
      <c r="O14" s="17" t="s">
        <v>70</v>
      </c>
      <c r="P14" s="18" t="s">
        <v>71</v>
      </c>
    </row>
    <row r="15" spans="1:16" x14ac:dyDescent="0.2">
      <c r="B15" s="2"/>
      <c r="F15" s="2"/>
    </row>
    <row r="16" spans="1:16" x14ac:dyDescent="0.2">
      <c r="B16" s="2"/>
      <c r="F16" s="2"/>
    </row>
    <row r="17" spans="2:6" x14ac:dyDescent="0.2">
      <c r="B17" s="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</sheetData>
  <phoneticPr fontId="6" type="noConversion"/>
  <hyperlinks>
    <hyperlink ref="P13" r:id="rId1" display="http://var.astro.cz/oejv/issues/oejv0060.pdf"/>
    <hyperlink ref="P14" r:id="rId2" display="http://var.astro.cz/oejv/issues/oejv00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2024-03-07T06:01:41Z</dcterms:modified>
</cp:coreProperties>
</file>