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F26EFBC-8046-4B5C-B579-4058A53D227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4" i="1" l="1"/>
  <c r="E24" i="1"/>
  <c r="F24" i="1"/>
  <c r="G24" i="1"/>
  <c r="M24" i="1"/>
  <c r="E26" i="1"/>
  <c r="F26" i="1"/>
  <c r="G26" i="1"/>
  <c r="M26" i="1"/>
  <c r="E33" i="1"/>
  <c r="F33" i="1"/>
  <c r="G33" i="1"/>
  <c r="M33" i="1"/>
  <c r="E51" i="1"/>
  <c r="F51" i="1"/>
  <c r="G51" i="1"/>
  <c r="J51" i="1"/>
  <c r="E53" i="1"/>
  <c r="F53" i="1"/>
  <c r="G53" i="1"/>
  <c r="J53" i="1"/>
  <c r="E54" i="1"/>
  <c r="F54" i="1"/>
  <c r="G54" i="1"/>
  <c r="J54" i="1"/>
  <c r="E21" i="1"/>
  <c r="F21" i="1"/>
  <c r="G21" i="1"/>
  <c r="I21" i="1"/>
  <c r="E22" i="1"/>
  <c r="F22" i="1"/>
  <c r="G22" i="1"/>
  <c r="I22" i="1"/>
  <c r="E23" i="1"/>
  <c r="F23" i="1"/>
  <c r="G23" i="1"/>
  <c r="I23" i="1"/>
  <c r="E25" i="1"/>
  <c r="F25" i="1"/>
  <c r="G25" i="1"/>
  <c r="I25" i="1"/>
  <c r="E27" i="1"/>
  <c r="F27" i="1"/>
  <c r="G27" i="1"/>
  <c r="I27" i="1"/>
  <c r="E28" i="1"/>
  <c r="F28" i="1"/>
  <c r="G28" i="1"/>
  <c r="I28" i="1"/>
  <c r="E29" i="1"/>
  <c r="F29" i="1"/>
  <c r="G29" i="1"/>
  <c r="E30" i="1"/>
  <c r="F30" i="1"/>
  <c r="G30" i="1"/>
  <c r="I30" i="1"/>
  <c r="E31" i="1"/>
  <c r="F31" i="1"/>
  <c r="G31" i="1"/>
  <c r="I31" i="1"/>
  <c r="E32" i="1"/>
  <c r="F32" i="1"/>
  <c r="G32" i="1"/>
  <c r="I32" i="1"/>
  <c r="E34" i="1"/>
  <c r="F34" i="1"/>
  <c r="G34" i="1"/>
  <c r="I34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2" i="1"/>
  <c r="F52" i="1"/>
  <c r="G52" i="1"/>
  <c r="I52" i="1"/>
  <c r="E55" i="1"/>
  <c r="F55" i="1"/>
  <c r="G55" i="1"/>
  <c r="J55" i="1"/>
  <c r="E56" i="1"/>
  <c r="F56" i="1"/>
  <c r="G56" i="1"/>
  <c r="J56" i="1"/>
  <c r="E57" i="1"/>
  <c r="F57" i="1"/>
  <c r="G57" i="1"/>
  <c r="L57" i="1"/>
  <c r="E58" i="1"/>
  <c r="F58" i="1"/>
  <c r="G58" i="1"/>
  <c r="E59" i="1"/>
  <c r="F59" i="1"/>
  <c r="G59" i="1"/>
  <c r="L59" i="1"/>
  <c r="E60" i="1"/>
  <c r="F60" i="1"/>
  <c r="G60" i="1"/>
  <c r="L60" i="1"/>
  <c r="E35" i="1"/>
  <c r="F35" i="1"/>
  <c r="Q53" i="1"/>
  <c r="Q51" i="1"/>
  <c r="Q33" i="1"/>
  <c r="Q26" i="1"/>
  <c r="Q24" i="1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48" i="2"/>
  <c r="C48" i="2"/>
  <c r="E48" i="2"/>
  <c r="G47" i="2"/>
  <c r="C47" i="2"/>
  <c r="E47" i="2"/>
  <c r="G37" i="2"/>
  <c r="C37" i="2"/>
  <c r="E37" i="2"/>
  <c r="G46" i="2"/>
  <c r="C46" i="2"/>
  <c r="E46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45" i="2"/>
  <c r="C45" i="2"/>
  <c r="E45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44" i="2"/>
  <c r="C44" i="2"/>
  <c r="E44" i="2"/>
  <c r="G14" i="2"/>
  <c r="C14" i="2"/>
  <c r="E14" i="2"/>
  <c r="G43" i="2"/>
  <c r="C43" i="2"/>
  <c r="E43" i="2"/>
  <c r="G13" i="2"/>
  <c r="C13" i="2"/>
  <c r="E13" i="2"/>
  <c r="G12" i="2"/>
  <c r="C12" i="2"/>
  <c r="E12" i="2"/>
  <c r="G11" i="2"/>
  <c r="C11" i="2"/>
  <c r="E11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48" i="2"/>
  <c r="D48" i="2"/>
  <c r="B48" i="2"/>
  <c r="A48" i="2"/>
  <c r="H47" i="2"/>
  <c r="D47" i="2"/>
  <c r="B47" i="2"/>
  <c r="A47" i="2"/>
  <c r="H37" i="2"/>
  <c r="D37" i="2"/>
  <c r="B37" i="2"/>
  <c r="A37" i="2"/>
  <c r="H46" i="2"/>
  <c r="D46" i="2"/>
  <c r="B46" i="2"/>
  <c r="A46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45" i="2"/>
  <c r="D45" i="2"/>
  <c r="B45" i="2"/>
  <c r="A45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44" i="2"/>
  <c r="D44" i="2"/>
  <c r="B44" i="2"/>
  <c r="A44" i="2"/>
  <c r="H14" i="2"/>
  <c r="D14" i="2"/>
  <c r="B14" i="2"/>
  <c r="A14" i="2"/>
  <c r="H43" i="2"/>
  <c r="D43" i="2"/>
  <c r="B43" i="2"/>
  <c r="A43" i="2"/>
  <c r="H13" i="2"/>
  <c r="D13" i="2"/>
  <c r="B13" i="2"/>
  <c r="A13" i="2"/>
  <c r="H12" i="2"/>
  <c r="D12" i="2"/>
  <c r="B12" i="2"/>
  <c r="A12" i="2"/>
  <c r="H11" i="2"/>
  <c r="D11" i="2"/>
  <c r="B11" i="2"/>
  <c r="A11" i="2"/>
  <c r="F11" i="1"/>
  <c r="Q60" i="1"/>
  <c r="Q59" i="1"/>
  <c r="Q57" i="1"/>
  <c r="Q56" i="1"/>
  <c r="Q55" i="1"/>
  <c r="Q21" i="1"/>
  <c r="Q22" i="1"/>
  <c r="Q23" i="1"/>
  <c r="Q25" i="1"/>
  <c r="Q27" i="1"/>
  <c r="Q28" i="1"/>
  <c r="I29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G11" i="1"/>
  <c r="E15" i="1"/>
  <c r="C17" i="1"/>
  <c r="Q58" i="1"/>
  <c r="J58" i="1"/>
  <c r="C12" i="1"/>
  <c r="C11" i="1"/>
  <c r="O41" i="1" l="1"/>
  <c r="O52" i="1"/>
  <c r="O54" i="1"/>
  <c r="O58" i="1"/>
  <c r="O46" i="1"/>
  <c r="C15" i="1"/>
  <c r="O43" i="1"/>
  <c r="O51" i="1"/>
  <c r="O33" i="1"/>
  <c r="O24" i="1"/>
  <c r="O57" i="1"/>
  <c r="O45" i="1"/>
  <c r="O36" i="1"/>
  <c r="O35" i="1"/>
  <c r="O30" i="1"/>
  <c r="O44" i="1"/>
  <c r="O32" i="1"/>
  <c r="O53" i="1"/>
  <c r="O59" i="1"/>
  <c r="O31" i="1"/>
  <c r="O42" i="1"/>
  <c r="O25" i="1"/>
  <c r="O21" i="1"/>
  <c r="O47" i="1"/>
  <c r="O34" i="1"/>
  <c r="O37" i="1"/>
  <c r="O49" i="1"/>
  <c r="O39" i="1"/>
  <c r="O26" i="1"/>
  <c r="O48" i="1"/>
  <c r="O23" i="1"/>
  <c r="O60" i="1"/>
  <c r="O55" i="1"/>
  <c r="O22" i="1"/>
  <c r="O29" i="1"/>
  <c r="O28" i="1"/>
  <c r="O56" i="1"/>
  <c r="O27" i="1"/>
  <c r="O50" i="1"/>
  <c r="O38" i="1"/>
  <c r="O40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<sst xmlns="http://schemas.openxmlformats.org/spreadsheetml/2006/main" count="411" uniqueCount="192">
  <si>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</si>
  <si>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</si>
  <si>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</si>
  <si>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</si>
  <si>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</si>
  <si>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</si>
  <si>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</si>
  <si>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</si>
  <si>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</si>
  <si>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</si>
  <si>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</si>
  <si>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</si>
  <si>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</si>
  <si>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</si>
  <si>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</si>
  <si>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</si>
  <si>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</si>
  <si>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</si>
  <si>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</si>
  <si>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</si>
  <si>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</si>
  <si>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</si>
  <si>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</si>
  <si>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</si>
  <si>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</si>
  <si>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</si>
  <si>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</si>
  <si>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</si>
  <si>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</si>
  <si>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</si>
  <si>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</si>
  <si>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</si>
  <si>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</si>
  <si>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</si>
  <si>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</si>
  <si>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V1061 Tau / GSC 1836-0313</t>
  </si>
  <si>
    <t>IBVS 5731</t>
  </si>
  <si>
    <t>IBVS 5843</t>
  </si>
  <si>
    <t>I</t>
  </si>
  <si>
    <t>not avail.</t>
  </si>
  <si>
    <t>Kreiner</t>
  </si>
  <si>
    <t xml:space="preserve">Terrell </t>
  </si>
  <si>
    <t>II</t>
  </si>
  <si>
    <t>Harvard plates</t>
  </si>
  <si>
    <t>pg</t>
  </si>
  <si>
    <t>OEJV 0160</t>
  </si>
  <si>
    <t>J.M. Kreiner, 2004, Acta Astronomica, vol. 54, pp 207-210.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</si>
  <si>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</si>
  <si>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</si>
  <si>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</si>
  <si>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</si>
  <si>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</si>
  <si>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</si>
  <si>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</si>
  <si>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</si>
  <si>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</si>
  <si>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</si>
  <si>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2416061.805 </t>
  </si>
  <si>
    <t> 08.11.1902 07:19 </t>
  </si>
  <si>
    <t> 0.192 </t>
  </si>
  <si>
    <t>P </t>
  </si>
  <si>
    <t> D.Terrell et al. </t>
  </si>
  <si>
    <t> PASP 107.653 </t>
  </si>
  <si>
    <t>2416417.769 </t>
  </si>
  <si>
    <t> 30.10.1903 06:27 </t>
  </si>
  <si>
    <t> 0.153 </t>
  </si>
  <si>
    <t>2416460.748 </t>
  </si>
  <si>
    <t> 12.12.1903 05:57 </t>
  </si>
  <si>
    <t> 0.189 </t>
  </si>
  <si>
    <t>2416823.727 </t>
  </si>
  <si>
    <t> 09.12.1904 05:26 </t>
  </si>
  <si>
    <t> 0.238 </t>
  </si>
  <si>
    <t>2417528.776 </t>
  </si>
  <si>
    <t> 14.11.1906 06:37 </t>
  </si>
  <si>
    <t> 0.206 </t>
  </si>
  <si>
    <t>2417977.599 </t>
  </si>
  <si>
    <t> 06.02.1908 02:22 </t>
  </si>
  <si>
    <t> 0.215 </t>
  </si>
  <si>
    <t>2418682.685 </t>
  </si>
  <si>
    <t> 11.01.1910 04:26 </t>
  </si>
  <si>
    <t> 0.219 </t>
  </si>
  <si>
    <t>2418988.745 </t>
  </si>
  <si>
    <t> 13.11.1910 05:52 </t>
  </si>
  <si>
    <t> 0.144 </t>
  </si>
  <si>
    <t>2419326.787 </t>
  </si>
  <si>
    <t> 17.10.1911 06:53 </t>
  </si>
  <si>
    <t> 0.190 </t>
  </si>
  <si>
    <t>2419337.866 </t>
  </si>
  <si>
    <t> 28.10.1911 08:47 </t>
  </si>
  <si>
    <t> 0.187 </t>
  </si>
  <si>
    <t>2419412.671 </t>
  </si>
  <si>
    <t> 11.01.1912 04:06 </t>
  </si>
  <si>
    <t>2419725.685 </t>
  </si>
  <si>
    <t> 19.11.1912 04:26 </t>
  </si>
  <si>
    <t> 0.142 </t>
  </si>
  <si>
    <t>2420092.790 </t>
  </si>
  <si>
    <t> 21.11.1913 06:57 </t>
  </si>
  <si>
    <t> 0.162 </t>
  </si>
  <si>
    <t>2420398.880 </t>
  </si>
  <si>
    <t> 23.09.1914 09:07 </t>
  </si>
  <si>
    <t> 0.116 </t>
  </si>
  <si>
    <t>2421217.691 </t>
  </si>
  <si>
    <t> 20.12.1916 04:35 </t>
  </si>
  <si>
    <t> 0.257 </t>
  </si>
  <si>
    <t>2422321.667 </t>
  </si>
  <si>
    <t> 29.12.1919 04:00 </t>
  </si>
  <si>
    <t> 0.205 </t>
  </si>
  <si>
    <t>2423019.824 </t>
  </si>
  <si>
    <t> 26.11.1921 07:46 </t>
  </si>
  <si>
    <t> 0.207 </t>
  </si>
  <si>
    <t>2423799.670 </t>
  </si>
  <si>
    <t> 15.01.1924 04:04 </t>
  </si>
  <si>
    <t> 0.169 </t>
  </si>
  <si>
    <t>2424942.552 </t>
  </si>
  <si>
    <t> 03.03.1927 01:14 </t>
  </si>
  <si>
    <t> 0.237 </t>
  </si>
  <si>
    <t>2427345.892 </t>
  </si>
  <si>
    <t> 30.09.1933 09:24 </t>
  </si>
  <si>
    <t>2433548.859 </t>
  </si>
  <si>
    <t> 24.09.1950 08:36 </t>
  </si>
  <si>
    <t> 0.118 </t>
  </si>
  <si>
    <t>2442786.724 </t>
  </si>
  <si>
    <t> 09.01.1976 05:22 </t>
  </si>
  <si>
    <t> -0.108 </t>
  </si>
  <si>
    <t>2443954.527 </t>
  </si>
  <si>
    <t> 22.03.1979 00:38 </t>
  </si>
  <si>
    <t> -0.053 </t>
  </si>
  <si>
    <t>2445702.754 </t>
  </si>
  <si>
    <t> 03.01.1984 06:05 </t>
  </si>
  <si>
    <t> 0.015 </t>
  </si>
  <si>
    <t>2446079.574 </t>
  </si>
  <si>
    <t> 14.01.1985 01:46 </t>
  </si>
  <si>
    <t> 0.053 </t>
  </si>
  <si>
    <t>2446378.816 </t>
  </si>
  <si>
    <t> 09.11.1985 07:35 </t>
  </si>
  <si>
    <t> 0.086 </t>
  </si>
  <si>
    <t>2446709.824 </t>
  </si>
  <si>
    <t> 06.10.1986 07:46 </t>
  </si>
  <si>
    <t> 0.024 </t>
  </si>
  <si>
    <t>2446788.662 </t>
  </si>
  <si>
    <t> 24.12.1986 03:53 </t>
  </si>
  <si>
    <t> -0.096 </t>
  </si>
  <si>
    <t>2446845.582 </t>
  </si>
  <si>
    <t> 19.02.1987 01:58 </t>
  </si>
  <si>
    <t> 0.030 </t>
  </si>
  <si>
    <t>2447151.652 </t>
  </si>
  <si>
    <t> 22.12.1987 03:38 </t>
  </si>
  <si>
    <t> -0.036 </t>
  </si>
  <si>
    <t> D.H.Kaiser </t>
  </si>
  <si>
    <t>IBVS 3481 </t>
  </si>
  <si>
    <t>2447593.551 </t>
  </si>
  <si>
    <t> 08.03.1989 01:13 </t>
  </si>
  <si>
    <t> -0.025 </t>
  </si>
  <si>
    <t>2447942.655 </t>
  </si>
  <si>
    <t> 20.02.1990 03:43 </t>
  </si>
  <si>
    <t> 0.001 </t>
  </si>
  <si>
    <t>E </t>
  </si>
  <si>
    <t>?</t>
  </si>
  <si>
    <t> D.B.Williams et al. </t>
  </si>
  <si>
    <t>2448628.3395 </t>
  </si>
  <si>
    <t> 06.01.1992 20:08 </t>
  </si>
  <si>
    <t> -0.0023 </t>
  </si>
  <si>
    <t> R.Diethelm </t>
  </si>
  <si>
    <t> BBS 100 </t>
  </si>
  <si>
    <t>2448983.6523 </t>
  </si>
  <si>
    <t> 27.12.1992 03:39 </t>
  </si>
  <si>
    <t> -0.0007 </t>
  </si>
  <si>
    <t>2449017.5912 </t>
  </si>
  <si>
    <t> 30.01.1993 02:11 </t>
  </si>
  <si>
    <t> 0.0001 </t>
  </si>
  <si>
    <t>2453327.7339 </t>
  </si>
  <si>
    <t> 18.11.2004 05:36 </t>
  </si>
  <si>
    <t> 0.0034 </t>
  </si>
  <si>
    <t>C </t>
  </si>
  <si>
    <t>-I</t>
  </si>
  <si>
    <t> W.Ogloza et al. </t>
  </si>
  <si>
    <t>IBVS 5843 </t>
  </si>
  <si>
    <t>2453706.5924 </t>
  </si>
  <si>
    <t> 02.12.2005 02:13 </t>
  </si>
  <si>
    <t>870</t>
  </si>
  <si>
    <t> 0.0018 </t>
  </si>
  <si>
    <t>o</t>
  </si>
  <si>
    <t> Schmidt </t>
  </si>
  <si>
    <t>BAVM 178 </t>
  </si>
  <si>
    <t>2455856.46279 </t>
  </si>
  <si>
    <t> 21.10.2011 23:06 </t>
  </si>
  <si>
    <t>2422</t>
  </si>
  <si>
    <t> -0.00286 </t>
  </si>
  <si>
    <t>R</t>
  </si>
  <si>
    <t> K.Onderkova </t>
  </si>
  <si>
    <t>OEJV 0160 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</si>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</sst>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V1061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7">
                  <c:v>-1.1484807982924394E-3</c:v>
                </c:pt>
                <c:pt idx="38">
                  <c:v>-1.1484807982924394E-3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84-4EFA-AD57-1B2A350472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0.31320205915835686</c:v>
                </c:pt>
                <c:pt idx="1">
                  <c:v>0.272228925183299</c:v>
                </c:pt>
                <c:pt idx="2">
                  <c:v>0.30899481174856192</c:v>
                </c:pt>
                <c:pt idx="4">
                  <c:v>0.32207540984018124</c:v>
                </c:pt>
                <c:pt idx="6">
                  <c:v>0.33168778106119134</c:v>
                </c:pt>
                <c:pt idx="7">
                  <c:v>0.25511555301272892</c:v>
                </c:pt>
                <c:pt idx="8">
                  <c:v>0.3001760795195878</c:v>
                </c:pt>
                <c:pt idx="9">
                  <c:v>0.29730921153532108</c:v>
                </c:pt>
                <c:pt idx="10">
                  <c:v>0.29970785264231381</c:v>
                </c:pt>
                <c:pt idx="11">
                  <c:v>0.25096883211153909</c:v>
                </c:pt>
                <c:pt idx="13">
                  <c:v>0.22255660211158101</c:v>
                </c:pt>
                <c:pt idx="14">
                  <c:v>-0.33197494941850891</c:v>
                </c:pt>
                <c:pt idx="15">
                  <c:v>0.3056550069777586</c:v>
                </c:pt>
                <c:pt idx="16">
                  <c:v>0.30504232401654008</c:v>
                </c:pt>
                <c:pt idx="17">
                  <c:v>0.30504232401654008</c:v>
                </c:pt>
                <c:pt idx="18">
                  <c:v>0.26466148967301706</c:v>
                </c:pt>
                <c:pt idx="19">
                  <c:v>0.32914072887797374</c:v>
                </c:pt>
                <c:pt idx="20">
                  <c:v>0.28926373495414737</c:v>
                </c:pt>
                <c:pt idx="21">
                  <c:v>0.1812843811858329</c:v>
                </c:pt>
                <c:pt idx="22">
                  <c:v>-7.4983441554650199E-2</c:v>
                </c:pt>
                <c:pt idx="23">
                  <c:v>-2.3704655315668788E-2</c:v>
                </c:pt>
                <c:pt idx="24">
                  <c:v>3.8796920285676606E-2</c:v>
                </c:pt>
                <c:pt idx="25">
                  <c:v>7.5323408847907558E-2</c:v>
                </c:pt>
                <c:pt idx="26">
                  <c:v>0.10691797328763641</c:v>
                </c:pt>
                <c:pt idx="27">
                  <c:v>4.4145292282337323E-2</c:v>
                </c:pt>
                <c:pt idx="28">
                  <c:v>-7.6156142102263402E-2</c:v>
                </c:pt>
                <c:pt idx="29">
                  <c:v>4.9276159486908E-2</c:v>
                </c:pt>
                <c:pt idx="31">
                  <c:v>-7.7374293978209607E-3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84-4EFA-AD57-1B2A350472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0">
                  <c:v>-1.7296068559517153E-2</c:v>
                </c:pt>
                <c:pt idx="32">
                  <c:v>1.7456229121307842E-2</c:v>
                </c:pt>
                <c:pt idx="33">
                  <c:v>1.1443772644270211E-2</c:v>
                </c:pt>
                <c:pt idx="34">
                  <c:v>1.1887317923537921E-2</c:v>
                </c:pt>
                <c:pt idx="35">
                  <c:v>1.2570034719828982E-2</c:v>
                </c:pt>
                <c:pt idx="37">
                  <c:v>-1.1484807982924394E-3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84-4EFA-AD57-1B2A350472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84-4EFA-AD57-1B2A350472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6">
                  <c:v>1.6750683862483129E-3</c:v>
                </c:pt>
                <c:pt idx="38">
                  <c:v>-1.1484807982924394E-3</c:v>
                </c:pt>
                <c:pt idx="39">
                  <c:v>-1.2930869597767014E-2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84-4EFA-AD57-1B2A350472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  <c:pt idx="3">
                  <c:v>-0.3357617939618649</c:v>
                </c:pt>
                <c:pt idx="5">
                  <c:v>0.32946725650617736</c:v>
                </c:pt>
                <c:pt idx="12">
                  <c:v>0.26912883015756961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84-4EFA-AD57-1B2A350472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1.5E-3</c:v>
                  </c:pt>
                  <c:pt idx="37">
                    <c:v>0</c:v>
                  </c:pt>
                  <c:pt idx="38">
                    <c:v>2.3999999999999998E-3</c:v>
                  </c:pt>
                  <c:pt idx="3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84-4EFA-AD57-1B2A350472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-27176</c:v>
                </c:pt>
                <c:pt idx="1">
                  <c:v>-26919</c:v>
                </c:pt>
                <c:pt idx="2">
                  <c:v>-26888</c:v>
                </c:pt>
                <c:pt idx="3">
                  <c:v>-26625.5</c:v>
                </c:pt>
                <c:pt idx="4">
                  <c:v>-26117</c:v>
                </c:pt>
                <c:pt idx="5">
                  <c:v>-25793</c:v>
                </c:pt>
                <c:pt idx="6">
                  <c:v>-25284</c:v>
                </c:pt>
                <c:pt idx="7">
                  <c:v>-25063</c:v>
                </c:pt>
                <c:pt idx="8">
                  <c:v>-24819</c:v>
                </c:pt>
                <c:pt idx="9">
                  <c:v>-24811</c:v>
                </c:pt>
                <c:pt idx="10">
                  <c:v>-24757</c:v>
                </c:pt>
                <c:pt idx="11">
                  <c:v>-24531</c:v>
                </c:pt>
                <c:pt idx="12">
                  <c:v>-24266</c:v>
                </c:pt>
                <c:pt idx="13">
                  <c:v>-24045</c:v>
                </c:pt>
                <c:pt idx="14">
                  <c:v>-23453.5</c:v>
                </c:pt>
                <c:pt idx="15">
                  <c:v>-22657</c:v>
                </c:pt>
                <c:pt idx="16">
                  <c:v>-22153</c:v>
                </c:pt>
                <c:pt idx="17">
                  <c:v>-22153</c:v>
                </c:pt>
                <c:pt idx="18">
                  <c:v>-21590</c:v>
                </c:pt>
                <c:pt idx="19">
                  <c:v>-20765</c:v>
                </c:pt>
                <c:pt idx="20">
                  <c:v>-19030</c:v>
                </c:pt>
                <c:pt idx="21">
                  <c:v>-14552</c:v>
                </c:pt>
                <c:pt idx="22">
                  <c:v>-7883</c:v>
                </c:pt>
                <c:pt idx="23">
                  <c:v>-7040</c:v>
                </c:pt>
                <c:pt idx="24">
                  <c:v>-5778</c:v>
                </c:pt>
                <c:pt idx="25">
                  <c:v>-5506</c:v>
                </c:pt>
                <c:pt idx="26">
                  <c:v>-5290</c:v>
                </c:pt>
                <c:pt idx="27">
                  <c:v>-5051</c:v>
                </c:pt>
                <c:pt idx="28">
                  <c:v>-4994</c:v>
                </c:pt>
                <c:pt idx="29">
                  <c:v>-4953</c:v>
                </c:pt>
                <c:pt idx="30">
                  <c:v>-4732</c:v>
                </c:pt>
                <c:pt idx="31">
                  <c:v>-4413</c:v>
                </c:pt>
                <c:pt idx="32">
                  <c:v>-4161</c:v>
                </c:pt>
                <c:pt idx="33">
                  <c:v>-3666</c:v>
                </c:pt>
                <c:pt idx="34">
                  <c:v>-3409.5</c:v>
                </c:pt>
                <c:pt idx="35">
                  <c:v>-3385</c:v>
                </c:pt>
                <c:pt idx="36">
                  <c:v>-273.5</c:v>
                </c:pt>
                <c:pt idx="37">
                  <c:v>0</c:v>
                </c:pt>
                <c:pt idx="38">
                  <c:v>0</c:v>
                </c:pt>
                <c:pt idx="39">
                  <c:v>1552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0.28691958812411128</c:v>
                </c:pt>
                <c:pt idx="1">
                  <c:v>0.28397804829483059</c:v>
                </c:pt>
                <c:pt idx="2">
                  <c:v>0.28362323220647373</c:v>
                </c:pt>
                <c:pt idx="3">
                  <c:v>0.28061874113571039</c:v>
                </c:pt>
                <c:pt idx="4">
                  <c:v>0.27479861271863165</c:v>
                </c:pt>
                <c:pt idx="5">
                  <c:v>0.27109021231128944</c:v>
                </c:pt>
                <c:pt idx="6">
                  <c:v>0.26526436105407586</c:v>
                </c:pt>
                <c:pt idx="7">
                  <c:v>0.26273486571449983</c:v>
                </c:pt>
                <c:pt idx="8">
                  <c:v>0.25994211972872361</c:v>
                </c:pt>
                <c:pt idx="9">
                  <c:v>0.259850554286567</c:v>
                </c:pt>
                <c:pt idx="10">
                  <c:v>0.25923248755201</c:v>
                </c:pt>
                <c:pt idx="11">
                  <c:v>0.25664576381108611</c:v>
                </c:pt>
                <c:pt idx="12">
                  <c:v>0.25361265853964882</c:v>
                </c:pt>
                <c:pt idx="13">
                  <c:v>0.25108316320007279</c:v>
                </c:pt>
                <c:pt idx="14">
                  <c:v>0.24431304332061932</c:v>
                </c:pt>
                <c:pt idx="15">
                  <c:v>0.23519655898590303</c:v>
                </c:pt>
                <c:pt idx="16">
                  <c:v>0.22942793613003737</c:v>
                </c:pt>
                <c:pt idx="17">
                  <c:v>0.22942793613003737</c:v>
                </c:pt>
                <c:pt idx="18">
                  <c:v>0.22298401813826679</c:v>
                </c:pt>
                <c:pt idx="19">
                  <c:v>0.21354133191586763</c:v>
                </c:pt>
                <c:pt idx="20">
                  <c:v>0.19368307664815548</c:v>
                </c:pt>
                <c:pt idx="21">
                  <c:v>0.14242932040099981</c:v>
                </c:pt>
                <c:pt idx="22">
                  <c:v>6.6098078683205899E-2</c:v>
                </c:pt>
                <c:pt idx="23">
                  <c:v>5.6449370215954406E-2</c:v>
                </c:pt>
                <c:pt idx="24">
                  <c:v>4.2004921715751084E-2</c:v>
                </c:pt>
                <c:pt idx="25">
                  <c:v>3.8891696682426757E-2</c:v>
                </c:pt>
                <c:pt idx="26">
                  <c:v>3.6419429744198616E-2</c:v>
                </c:pt>
                <c:pt idx="27">
                  <c:v>3.3683912159770249E-2</c:v>
                </c:pt>
                <c:pt idx="28">
                  <c:v>3.3031508384404488E-2</c:v>
                </c:pt>
                <c:pt idx="29">
                  <c:v>3.2562235493351931E-2</c:v>
                </c:pt>
                <c:pt idx="30">
                  <c:v>3.0032740153775911E-2</c:v>
                </c:pt>
                <c:pt idx="31">
                  <c:v>2.6381568147781573E-2</c:v>
                </c:pt>
                <c:pt idx="32">
                  <c:v>2.3497256719848737E-2</c:v>
                </c:pt>
                <c:pt idx="33">
                  <c:v>1.783164498640924E-2</c:v>
                </c:pt>
                <c:pt idx="34">
                  <c:v>1.4895827997263321E-2</c:v>
                </c:pt>
                <c:pt idx="35">
                  <c:v>1.461540883065874E-2</c:v>
                </c:pt>
                <c:pt idx="36">
                  <c:v>-2.0997825328123047E-2</c:v>
                </c:pt>
                <c:pt idx="37">
                  <c:v>-2.4128218881851737E-2</c:v>
                </c:pt>
                <c:pt idx="38">
                  <c:v>-2.4128218881851737E-2</c:v>
                </c:pt>
                <c:pt idx="39">
                  <c:v>-4.1891914660231726E-2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84-4EFA-AD57-1B2A35047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050264"/>
        <c:axId val="1"/>
      </c:scatterChart>
      <c:valAx>
        <c:axId val="71005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050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457200</xdr:colOff>
      <xdr:row>18</xdr:row>
      <xdr:rowOff>85726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B26F46-34E3-82D8-D25A-BFA5A76B7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43" TargetMode="External"/><Relationship Id="rId2" Type="http://schemas.openxmlformats.org/officeDocument/2006/relationships/hyperlink" Target="http://www.konkoly.hu/cgi-bin/IBVS?3481" TargetMode="External"/><Relationship Id="rId1" Type="http://schemas.openxmlformats.org/officeDocument/2006/relationships/hyperlink" Target="http://www.konkoly.hu/cgi-bin/IBVS?3481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4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1" customFormat="1" ht="20.25" x14ac:dyDescent="0.2">
      <c r="A1" s="60" t="s">
        <v>35</v>
      </c>
    </row>
    <row r="2" spans="1:7" s="31" customFormat="1" ht="12.95" customHeight="1" x14ac:dyDescent="0.2">
      <c r="A2" s="31" t="s">
        <v>24</v>
      </c>
      <c r="C2" s="32"/>
      <c r="D2" s="32"/>
    </row>
    <row r="3" spans="1:7" s="31" customFormat="1" ht="12.95" customHeight="1" thickBot="1" x14ac:dyDescent="0.25"/>
    <row r="4" spans="1:7" s="31" customFormat="1" ht="12.95" customHeight="1" thickTop="1" thickBot="1" x14ac:dyDescent="0.25">
      <c r="A4" s="33" t="s">
        <v>0</v>
      </c>
      <c r="C4" s="34" t="s">
        <v>39</v>
      </c>
      <c r="D4" s="35" t="s">
        <v>39</v>
      </c>
    </row>
    <row r="5" spans="1:7" s="31" customFormat="1" ht="12.95" customHeight="1" x14ac:dyDescent="0.2"/>
    <row r="6" spans="1:7" s="31" customFormat="1" ht="12.95" customHeight="1" x14ac:dyDescent="0.2">
      <c r="A6" s="33" t="s">
        <v>1</v>
      </c>
      <c r="C6" s="36" t="s">
        <v>46</v>
      </c>
    </row>
    <row r="7" spans="1:7" s="31" customFormat="1" ht="12.95" customHeight="1" x14ac:dyDescent="0.2">
      <c r="A7" s="31" t="s">
        <v>2</v>
      </c>
      <c r="C7" s="31">
        <v>53706.5935484808</v>
      </c>
      <c r="D7" s="37" t="s">
        <v>40</v>
      </c>
    </row>
    <row r="8" spans="1:7" s="31" customFormat="1" ht="12.95" customHeight="1" x14ac:dyDescent="0.2">
      <c r="A8" s="31" t="s">
        <v>3</v>
      </c>
      <c r="C8" s="31">
        <v>1.3852333584979377</v>
      </c>
      <c r="D8" s="37" t="s">
        <v>40</v>
      </c>
    </row>
    <row r="9" spans="1:7" s="31" customFormat="1" ht="12.95" customHeight="1" x14ac:dyDescent="0.2">
      <c r="A9" s="37" t="s">
        <v>28</v>
      </c>
      <c r="C9" s="38">
        <v>-9.5</v>
      </c>
      <c r="D9" s="31" t="s">
        <v>29</v>
      </c>
    </row>
    <row r="10" spans="1:7" s="31" customFormat="1" ht="12.95" customHeight="1" thickBot="1" x14ac:dyDescent="0.25">
      <c r="C10" s="39" t="s">
        <v>20</v>
      </c>
      <c r="D10" s="39" t="s">
        <v>21</v>
      </c>
    </row>
    <row r="11" spans="1:7" s="31" customFormat="1" ht="12.95" customHeight="1" x14ac:dyDescent="0.2">
      <c r="A11" s="31" t="s">
        <v>16</v>
      </c>
      <c r="C11" s="40">
        <f ca="1">INTERCEPT(INDIRECT($G$11):G992,INDIRECT($F$11):F992)</f>
        <v>-2.4128218881851737E-2</v>
      </c>
      <c r="D11" s="32"/>
      <c r="F11" s="41" t="str">
        <f>"F"&amp;E19</f>
        <v>F21</v>
      </c>
      <c r="G11" s="40" t="str">
        <f>"G"&amp;E19</f>
        <v>G21</v>
      </c>
    </row>
    <row r="12" spans="1:7" s="31" customFormat="1" ht="12.95" customHeight="1" x14ac:dyDescent="0.2">
      <c r="A12" s="31" t="s">
        <v>17</v>
      </c>
      <c r="C12" s="40">
        <f ca="1">SLOPE(INDIRECT($G$11):G992,INDIRECT($F$11):F992)</f>
        <v>-1.1445680269574735E-5</v>
      </c>
      <c r="D12" s="32"/>
    </row>
    <row r="13" spans="1:7" s="31" customFormat="1" ht="12.95" customHeight="1" x14ac:dyDescent="0.2">
      <c r="A13" s="31" t="s">
        <v>19</v>
      </c>
      <c r="C13" s="32" t="s">
        <v>14</v>
      </c>
      <c r="D13" s="32"/>
    </row>
    <row r="14" spans="1:7" s="31" customFormat="1" ht="12.95" customHeight="1" x14ac:dyDescent="0.2"/>
    <row r="15" spans="1:7" s="31" customFormat="1" ht="12.95" customHeight="1" x14ac:dyDescent="0.2">
      <c r="A15" s="42" t="s">
        <v>18</v>
      </c>
      <c r="C15" s="43">
        <f ca="1">(C7+C11)+(C8+C12)*INT(MAX(F21:F3533))</f>
        <v>55856.433828954941</v>
      </c>
      <c r="D15" s="44" t="s">
        <v>30</v>
      </c>
      <c r="E15" s="45">
        <f ca="1">TODAY()+15018.5-B9/24</f>
        <v>60376.5</v>
      </c>
    </row>
    <row r="16" spans="1:7" s="31" customFormat="1" ht="12.95" customHeight="1" x14ac:dyDescent="0.2">
      <c r="A16" s="33" t="s">
        <v>4</v>
      </c>
      <c r="C16" s="46">
        <f ca="1">+C8+C12</f>
        <v>1.3852219128176682</v>
      </c>
      <c r="D16" s="44" t="s">
        <v>31</v>
      </c>
      <c r="E16" s="45">
        <f ca="1">ROUND(2*(E15-C15)/C16,0)/2+1</f>
        <v>3264</v>
      </c>
    </row>
    <row r="17" spans="1:17" s="31" customFormat="1" ht="12.95" customHeight="1" thickBot="1" x14ac:dyDescent="0.25">
      <c r="A17" s="44" t="s">
        <v>27</v>
      </c>
      <c r="C17" s="31">
        <f>COUNT(C21:C2191)</f>
        <v>40</v>
      </c>
      <c r="D17" s="44" t="s">
        <v>32</v>
      </c>
      <c r="E17" s="47">
        <f ca="1">+C15+C16*E16-15018.5-C9/24</f>
        <v>45359.693985725149</v>
      </c>
    </row>
    <row r="18" spans="1:17" s="31" customFormat="1" ht="12.95" customHeight="1" thickTop="1" thickBot="1" x14ac:dyDescent="0.25">
      <c r="A18" s="33" t="s">
        <v>5</v>
      </c>
      <c r="C18" s="48">
        <f ca="1">+C15</f>
        <v>55856.433828954941</v>
      </c>
      <c r="D18" s="49">
        <f ca="1">+C16</f>
        <v>1.3852219128176682</v>
      </c>
      <c r="E18" s="50" t="s">
        <v>33</v>
      </c>
    </row>
    <row r="19" spans="1:17" s="31" customFormat="1" ht="12.95" customHeight="1" thickTop="1" x14ac:dyDescent="0.2">
      <c r="A19" s="51" t="s">
        <v>34</v>
      </c>
      <c r="E19" s="52">
        <v>21</v>
      </c>
    </row>
    <row r="20" spans="1:17" s="31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53" t="s">
        <v>191</v>
      </c>
      <c r="I20" s="53" t="s">
        <v>44</v>
      </c>
      <c r="J20" s="53" t="s">
        <v>56</v>
      </c>
      <c r="K20" s="53" t="s">
        <v>51</v>
      </c>
      <c r="L20" s="53" t="s">
        <v>49</v>
      </c>
      <c r="M20" s="53" t="s">
        <v>25</v>
      </c>
      <c r="N20" s="53" t="s">
        <v>26</v>
      </c>
      <c r="O20" s="53" t="s">
        <v>23</v>
      </c>
      <c r="P20" s="54" t="s">
        <v>22</v>
      </c>
      <c r="Q20" s="39" t="s">
        <v>15</v>
      </c>
    </row>
    <row r="21" spans="1:17" s="31" customFormat="1" ht="12.95" customHeight="1" x14ac:dyDescent="0.2">
      <c r="A21" s="31" t="s">
        <v>43</v>
      </c>
      <c r="B21" s="32"/>
      <c r="C21" s="55">
        <v>16061.805</v>
      </c>
      <c r="D21" s="55" t="s">
        <v>44</v>
      </c>
      <c r="E21" s="31">
        <f t="shared" ref="E21:E60" si="0">+(C21-C$7)/C$8</f>
        <v>-27175.773899424792</v>
      </c>
      <c r="F21" s="31">
        <f t="shared" ref="F21:F60" si="1">ROUND(2*E21,0)/2</f>
        <v>-27176</v>
      </c>
      <c r="G21" s="31">
        <f t="shared" ref="G21:G34" si="2">+C21-(C$7+F21*C$8)</f>
        <v>0.31320205915835686</v>
      </c>
      <c r="I21" s="31">
        <f>+G21</f>
        <v>0.31320205915835686</v>
      </c>
      <c r="O21" s="31">
        <f t="shared" ref="O21:O60" ca="1" si="3">+C$11+C$12*$F21</f>
        <v>0.28691958812411128</v>
      </c>
      <c r="Q21" s="56">
        <f t="shared" ref="Q21:Q60" si="4">+C21-15018.5</f>
        <v>1043.3050000000003</v>
      </c>
    </row>
    <row r="22" spans="1:17" s="31" customFormat="1" ht="12.95" customHeight="1" x14ac:dyDescent="0.2">
      <c r="A22" s="31" t="s">
        <v>43</v>
      </c>
      <c r="B22" s="32"/>
      <c r="C22" s="55">
        <v>16417.769</v>
      </c>
      <c r="D22" s="55" t="s">
        <v>44</v>
      </c>
      <c r="E22" s="31">
        <f t="shared" si="0"/>
        <v>-26918.803477931342</v>
      </c>
      <c r="F22" s="31">
        <f t="shared" si="1"/>
        <v>-26919</v>
      </c>
      <c r="G22" s="31">
        <f t="shared" si="2"/>
        <v>0.272228925183299</v>
      </c>
      <c r="I22" s="31">
        <f>+G22</f>
        <v>0.272228925183299</v>
      </c>
      <c r="O22" s="31">
        <f t="shared" ca="1" si="3"/>
        <v>0.28397804829483059</v>
      </c>
      <c r="Q22" s="56">
        <f t="shared" si="4"/>
        <v>1399.2690000000002</v>
      </c>
    </row>
    <row r="23" spans="1:17" s="31" customFormat="1" ht="12.95" customHeight="1" x14ac:dyDescent="0.2">
      <c r="A23" s="31" t="s">
        <v>43</v>
      </c>
      <c r="B23" s="32"/>
      <c r="C23" s="55">
        <v>16460.748</v>
      </c>
      <c r="D23" s="55" t="s">
        <v>44</v>
      </c>
      <c r="E23" s="31">
        <f t="shared" si="0"/>
        <v>-26887.776936636808</v>
      </c>
      <c r="F23" s="31">
        <f t="shared" si="1"/>
        <v>-26888</v>
      </c>
      <c r="G23" s="31">
        <f t="shared" si="2"/>
        <v>0.30899481174856192</v>
      </c>
      <c r="I23" s="31">
        <f>+G23</f>
        <v>0.30899481174856192</v>
      </c>
      <c r="O23" s="31">
        <f t="shared" ca="1" si="3"/>
        <v>0.28362323220647373</v>
      </c>
      <c r="Q23" s="56">
        <f t="shared" si="4"/>
        <v>1442.2479999999996</v>
      </c>
    </row>
    <row r="24" spans="1:17" s="31" customFormat="1" ht="12.95" customHeight="1" x14ac:dyDescent="0.2">
      <c r="A24" s="57" t="s">
        <v>62</v>
      </c>
      <c r="B24" s="58" t="s">
        <v>38</v>
      </c>
      <c r="C24" s="59">
        <v>16823.726999999999</v>
      </c>
      <c r="D24" s="55"/>
      <c r="E24" s="31">
        <f t="shared" si="0"/>
        <v>-26625.742386448394</v>
      </c>
      <c r="F24" s="31">
        <f t="shared" si="1"/>
        <v>-26625.5</v>
      </c>
      <c r="G24" s="31">
        <f t="shared" si="2"/>
        <v>-0.3357617939618649</v>
      </c>
      <c r="M24" s="31">
        <f>+G24</f>
        <v>-0.3357617939618649</v>
      </c>
      <c r="O24" s="31">
        <f t="shared" ca="1" si="3"/>
        <v>0.28061874113571039</v>
      </c>
      <c r="Q24" s="56">
        <f t="shared" si="4"/>
        <v>1805.226999999999</v>
      </c>
    </row>
    <row r="25" spans="1:17" s="31" customFormat="1" ht="12.95" customHeight="1" x14ac:dyDescent="0.2">
      <c r="A25" s="31" t="s">
        <v>43</v>
      </c>
      <c r="B25" s="32"/>
      <c r="C25" s="55">
        <v>17528.776000000002</v>
      </c>
      <c r="D25" s="55" t="s">
        <v>44</v>
      </c>
      <c r="E25" s="31">
        <f t="shared" si="0"/>
        <v>-26116.767493752686</v>
      </c>
      <c r="F25" s="31">
        <f t="shared" si="1"/>
        <v>-26117</v>
      </c>
      <c r="G25" s="31">
        <f t="shared" si="2"/>
        <v>0.32207540984018124</v>
      </c>
      <c r="I25" s="31">
        <f>+G25</f>
        <v>0.32207540984018124</v>
      </c>
      <c r="O25" s="31">
        <f t="shared" ca="1" si="3"/>
        <v>0.27479861271863165</v>
      </c>
      <c r="Q25" s="56">
        <f t="shared" si="4"/>
        <v>2510.2760000000017</v>
      </c>
    </row>
    <row r="26" spans="1:17" s="31" customFormat="1" ht="12.95" customHeight="1" x14ac:dyDescent="0.2">
      <c r="A26" s="57" t="s">
        <v>62</v>
      </c>
      <c r="B26" s="58" t="s">
        <v>38</v>
      </c>
      <c r="C26" s="59">
        <v>17977.598999999998</v>
      </c>
      <c r="D26" s="55"/>
      <c r="E26" s="31">
        <f t="shared" si="0"/>
        <v>-25792.762157578367</v>
      </c>
      <c r="F26" s="31">
        <f t="shared" si="1"/>
        <v>-25793</v>
      </c>
      <c r="G26" s="31">
        <f t="shared" si="2"/>
        <v>0.32946725650617736</v>
      </c>
      <c r="M26" s="31">
        <f>+G26</f>
        <v>0.32946725650617736</v>
      </c>
      <c r="O26" s="31">
        <f t="shared" ca="1" si="3"/>
        <v>0.27109021231128944</v>
      </c>
      <c r="Q26" s="56">
        <f t="shared" si="4"/>
        <v>2959.0989999999983</v>
      </c>
    </row>
    <row r="27" spans="1:17" s="31" customFormat="1" ht="12.95" customHeight="1" x14ac:dyDescent="0.2">
      <c r="A27" s="31" t="s">
        <v>43</v>
      </c>
      <c r="B27" s="32"/>
      <c r="C27" s="55">
        <v>18682.685000000001</v>
      </c>
      <c r="D27" s="55" t="s">
        <v>44</v>
      </c>
      <c r="E27" s="31">
        <f t="shared" si="0"/>
        <v>-25283.760554581637</v>
      </c>
      <c r="F27" s="31">
        <f t="shared" si="1"/>
        <v>-25284</v>
      </c>
      <c r="G27" s="31">
        <f t="shared" si="2"/>
        <v>0.33168778106119134</v>
      </c>
      <c r="I27" s="31">
        <f>+G27</f>
        <v>0.33168778106119134</v>
      </c>
      <c r="O27" s="31">
        <f t="shared" ca="1" si="3"/>
        <v>0.26526436105407586</v>
      </c>
      <c r="Q27" s="56">
        <f t="shared" si="4"/>
        <v>3664.1850000000013</v>
      </c>
    </row>
    <row r="28" spans="1:17" s="31" customFormat="1" ht="12.95" customHeight="1" x14ac:dyDescent="0.2">
      <c r="A28" s="31" t="s">
        <v>43</v>
      </c>
      <c r="B28" s="32"/>
      <c r="C28" s="55">
        <v>18988.744999999999</v>
      </c>
      <c r="D28" s="55" t="s">
        <v>44</v>
      </c>
      <c r="E28" s="31">
        <f t="shared" si="0"/>
        <v>-25062.815832075194</v>
      </c>
      <c r="F28" s="31">
        <f t="shared" si="1"/>
        <v>-25063</v>
      </c>
      <c r="G28" s="31">
        <f t="shared" si="2"/>
        <v>0.25511555301272892</v>
      </c>
      <c r="I28" s="31">
        <f>+G28</f>
        <v>0.25511555301272892</v>
      </c>
      <c r="O28" s="31">
        <f t="shared" ca="1" si="3"/>
        <v>0.26273486571449983</v>
      </c>
      <c r="Q28" s="56">
        <f t="shared" si="4"/>
        <v>3970.244999999999</v>
      </c>
    </row>
    <row r="29" spans="1:17" s="31" customFormat="1" ht="12.95" customHeight="1" x14ac:dyDescent="0.2">
      <c r="A29" s="31" t="s">
        <v>43</v>
      </c>
      <c r="B29" s="32"/>
      <c r="C29" s="55">
        <v>19326.787</v>
      </c>
      <c r="D29" s="55" t="s">
        <v>44</v>
      </c>
      <c r="E29" s="31">
        <f t="shared" si="0"/>
        <v>-24818.783302879856</v>
      </c>
      <c r="F29" s="31">
        <f t="shared" si="1"/>
        <v>-24819</v>
      </c>
      <c r="G29" s="31">
        <f t="shared" si="2"/>
        <v>0.3001760795195878</v>
      </c>
      <c r="I29" s="31">
        <f>+G29</f>
        <v>0.3001760795195878</v>
      </c>
      <c r="O29" s="31">
        <f t="shared" ca="1" si="3"/>
        <v>0.25994211972872361</v>
      </c>
      <c r="Q29" s="56">
        <f t="shared" si="4"/>
        <v>4308.2870000000003</v>
      </c>
    </row>
    <row r="30" spans="1:17" s="31" customFormat="1" ht="12.95" customHeight="1" x14ac:dyDescent="0.2">
      <c r="A30" s="31" t="s">
        <v>43</v>
      </c>
      <c r="B30" s="32"/>
      <c r="C30" s="55">
        <v>19337.866000000002</v>
      </c>
      <c r="D30" s="55" t="s">
        <v>44</v>
      </c>
      <c r="E30" s="31">
        <f t="shared" si="0"/>
        <v>-24810.785372471928</v>
      </c>
      <c r="F30" s="31">
        <f t="shared" si="1"/>
        <v>-24811</v>
      </c>
      <c r="G30" s="31">
        <f t="shared" si="2"/>
        <v>0.29730921153532108</v>
      </c>
      <c r="I30" s="31">
        <f>+G30</f>
        <v>0.29730921153532108</v>
      </c>
      <c r="O30" s="31">
        <f t="shared" ca="1" si="3"/>
        <v>0.259850554286567</v>
      </c>
      <c r="Q30" s="56">
        <f t="shared" si="4"/>
        <v>4319.3660000000018</v>
      </c>
    </row>
    <row r="31" spans="1:17" s="31" customFormat="1" ht="12.95" customHeight="1" x14ac:dyDescent="0.2">
      <c r="A31" s="31" t="s">
        <v>43</v>
      </c>
      <c r="B31" s="32"/>
      <c r="C31" s="55">
        <v>19412.670999999998</v>
      </c>
      <c r="D31" s="55" t="s">
        <v>44</v>
      </c>
      <c r="E31" s="31">
        <f t="shared" si="0"/>
        <v>-24756.783640892845</v>
      </c>
      <c r="F31" s="31">
        <f t="shared" si="1"/>
        <v>-24757</v>
      </c>
      <c r="G31" s="31">
        <f t="shared" si="2"/>
        <v>0.29970785264231381</v>
      </c>
      <c r="I31" s="31">
        <f>+G31</f>
        <v>0.29970785264231381</v>
      </c>
      <c r="O31" s="31">
        <f t="shared" ca="1" si="3"/>
        <v>0.25923248755201</v>
      </c>
      <c r="Q31" s="56">
        <f t="shared" si="4"/>
        <v>4394.1709999999985</v>
      </c>
    </row>
    <row r="32" spans="1:17" x14ac:dyDescent="0.2">
      <c r="A32" t="s">
        <v>43</v>
      </c>
      <c r="B32" s="2"/>
      <c r="C32" s="3">
        <v>19725.685000000001</v>
      </c>
      <c r="D32" s="3" t="s">
        <v>44</v>
      </c>
      <c r="E32">
        <f t="shared" si="0"/>
        <v>-24530.818825593127</v>
      </c>
      <c r="F32">
        <f t="shared" si="1"/>
        <v>-24531</v>
      </c>
      <c r="G32">
        <f t="shared" si="2"/>
        <v>0.25096883211153909</v>
      </c>
      <c r="I32">
        <f>+G32</f>
        <v>0.25096883211153909</v>
      </c>
      <c r="O32">
        <f t="shared" ca="1" si="3"/>
        <v>0.25664576381108611</v>
      </c>
      <c r="Q32" s="1">
        <f t="shared" si="4"/>
        <v>4707.1850000000013</v>
      </c>
    </row>
    <row r="33" spans="1:17" x14ac:dyDescent="0.2">
      <c r="A33" s="28" t="s">
        <v>62</v>
      </c>
      <c r="B33" s="30" t="s">
        <v>38</v>
      </c>
      <c r="C33" s="29">
        <v>20092.79</v>
      </c>
      <c r="D33" s="3"/>
      <c r="E33">
        <f t="shared" si="0"/>
        <v>-24265.80571589003</v>
      </c>
      <c r="F33">
        <f t="shared" si="1"/>
        <v>-24266</v>
      </c>
      <c r="G33">
        <f t="shared" si="2"/>
        <v>0.26912883015756961</v>
      </c>
      <c r="M33">
        <f>+G33</f>
        <v>0.26912883015756961</v>
      </c>
      <c r="O33">
        <f t="shared" ca="1" si="3"/>
        <v>0.25361265853964882</v>
      </c>
      <c r="Q33" s="1">
        <f t="shared" si="4"/>
        <v>5074.2900000000009</v>
      </c>
    </row>
    <row r="34" spans="1:17" x14ac:dyDescent="0.2">
      <c r="A34" t="s">
        <v>43</v>
      </c>
      <c r="B34" s="2"/>
      <c r="C34" s="3">
        <v>20398.88</v>
      </c>
      <c r="D34" s="3" t="s">
        <v>44</v>
      </c>
      <c r="E34">
        <f t="shared" si="0"/>
        <v>-24044.839336382745</v>
      </c>
      <c r="F34">
        <f t="shared" si="1"/>
        <v>-24045</v>
      </c>
      <c r="G34">
        <f t="shared" si="2"/>
        <v>0.22255660211158101</v>
      </c>
      <c r="I34">
        <f>+G34</f>
        <v>0.22255660211158101</v>
      </c>
      <c r="O34">
        <f t="shared" ca="1" si="3"/>
        <v>0.25108316320007279</v>
      </c>
      <c r="Q34" s="1">
        <f t="shared" si="4"/>
        <v>5380.380000000001</v>
      </c>
    </row>
    <row r="35" spans="1:17" x14ac:dyDescent="0.2">
      <c r="A35" t="s">
        <v>43</v>
      </c>
      <c r="B35" s="2"/>
      <c r="C35" s="6">
        <v>21217.690999999999</v>
      </c>
      <c r="D35" s="3" t="s">
        <v>44</v>
      </c>
      <c r="E35">
        <f t="shared" si="0"/>
        <v>-23453.739652725213</v>
      </c>
      <c r="F35">
        <f t="shared" si="1"/>
        <v>-23453.5</v>
      </c>
      <c r="I35" s="5">
        <v>-0.33197494941850891</v>
      </c>
      <c r="O35">
        <f t="shared" ca="1" si="3"/>
        <v>0.24431304332061932</v>
      </c>
      <c r="Q35" s="1">
        <f t="shared" si="4"/>
        <v>6199.1909999999989</v>
      </c>
    </row>
    <row r="36" spans="1:17" x14ac:dyDescent="0.2">
      <c r="A36" t="s">
        <v>43</v>
      </c>
      <c r="B36" s="2"/>
      <c r="C36" s="3">
        <v>22321.667000000001</v>
      </c>
      <c r="D36" s="3" t="s">
        <v>44</v>
      </c>
      <c r="E36">
        <f t="shared" si="0"/>
        <v>-22656.779347641968</v>
      </c>
      <c r="F36">
        <f t="shared" si="1"/>
        <v>-22657</v>
      </c>
      <c r="G36">
        <f t="shared" ref="G36:H60" si="5">+C36-(C$7+F36*C$8)</f>
        <v>0.3056550069777586</v>
      </c>
      <c r="I36">
        <f>+G36</f>
        <v>0.3056550069777586</v>
      </c>
      <c r="O36">
        <f t="shared" ca="1" si="3"/>
        <v>0.23519655898590303</v>
      </c>
      <c r="Q36" s="1">
        <f t="shared" si="4"/>
        <v>7303.1670000000013</v>
      </c>
    </row>
    <row r="37" spans="1:17" x14ac:dyDescent="0.2">
      <c r="A37" t="s">
        <v>43</v>
      </c>
      <c r="B37" s="2"/>
      <c r="C37" s="3">
        <v>23019.824000000001</v>
      </c>
      <c r="D37" s="3" t="s">
        <v>44</v>
      </c>
      <c r="E37">
        <f t="shared" si="0"/>
        <v>-22152.779789937817</v>
      </c>
      <c r="F37">
        <f t="shared" si="1"/>
        <v>-22153</v>
      </c>
      <c r="G37">
        <f t="shared" si="5"/>
        <v>0.30504232401654008</v>
      </c>
      <c r="I37">
        <f>+G37</f>
        <v>0.30504232401654008</v>
      </c>
      <c r="O37">
        <f t="shared" ca="1" si="3"/>
        <v>0.22942793613003737</v>
      </c>
      <c r="Q37" s="1">
        <f t="shared" si="4"/>
        <v>8001.3240000000005</v>
      </c>
    </row>
    <row r="38" spans="1:17" x14ac:dyDescent="0.2">
      <c r="A38" t="s">
        <v>43</v>
      </c>
      <c r="B38" s="2"/>
      <c r="C38" s="3">
        <v>23019.824000000001</v>
      </c>
      <c r="D38" s="3" t="s">
        <v>44</v>
      </c>
      <c r="E38">
        <f t="shared" si="0"/>
        <v>-22152.779789937817</v>
      </c>
      <c r="F38">
        <f t="shared" si="1"/>
        <v>-22153</v>
      </c>
      <c r="G38">
        <f t="shared" si="5"/>
        <v>0.30504232401654008</v>
      </c>
      <c r="I38">
        <f>+G38</f>
        <v>0.30504232401654008</v>
      </c>
      <c r="O38">
        <f t="shared" ca="1" si="3"/>
        <v>0.22942793613003737</v>
      </c>
      <c r="Q38" s="1">
        <f t="shared" si="4"/>
        <v>8001.3240000000005</v>
      </c>
    </row>
    <row r="39" spans="1:17" x14ac:dyDescent="0.2">
      <c r="A39" t="s">
        <v>43</v>
      </c>
      <c r="B39" s="2"/>
      <c r="C39" s="3">
        <v>23799.67</v>
      </c>
      <c r="D39" s="3" t="s">
        <v>44</v>
      </c>
      <c r="E39">
        <f t="shared" si="0"/>
        <v>-21589.808940863248</v>
      </c>
      <c r="F39">
        <f t="shared" si="1"/>
        <v>-21590</v>
      </c>
      <c r="G39">
        <f t="shared" si="5"/>
        <v>0.26466148967301706</v>
      </c>
      <c r="I39">
        <f>+G39</f>
        <v>0.26466148967301706</v>
      </c>
      <c r="O39">
        <f t="shared" ca="1" si="3"/>
        <v>0.22298401813826679</v>
      </c>
      <c r="Q39" s="1">
        <f t="shared" si="4"/>
        <v>8781.1699999999983</v>
      </c>
    </row>
    <row r="40" spans="1:17" x14ac:dyDescent="0.2">
      <c r="A40" t="s">
        <v>43</v>
      </c>
      <c r="B40" s="2"/>
      <c r="C40" s="3">
        <v>24942.552</v>
      </c>
      <c r="D40" s="3" t="s">
        <v>44</v>
      </c>
      <c r="E40">
        <f t="shared" si="0"/>
        <v>-20764.762393298675</v>
      </c>
      <c r="F40">
        <f t="shared" si="1"/>
        <v>-20765</v>
      </c>
      <c r="G40">
        <f t="shared" si="5"/>
        <v>0.32914072887797374</v>
      </c>
      <c r="I40">
        <f>+G40</f>
        <v>0.32914072887797374</v>
      </c>
      <c r="O40">
        <f t="shared" ca="1" si="3"/>
        <v>0.21354133191586763</v>
      </c>
      <c r="Q40" s="1">
        <f t="shared" si="4"/>
        <v>9924.0519999999997</v>
      </c>
    </row>
    <row r="41" spans="1:17" x14ac:dyDescent="0.2">
      <c r="A41" t="s">
        <v>43</v>
      </c>
      <c r="B41" s="2"/>
      <c r="C41" s="3">
        <v>27345.892</v>
      </c>
      <c r="D41" s="3" t="s">
        <v>44</v>
      </c>
      <c r="E41">
        <f t="shared" si="0"/>
        <v>-19029.791180501696</v>
      </c>
      <c r="F41">
        <f t="shared" si="1"/>
        <v>-19030</v>
      </c>
      <c r="G41">
        <f t="shared" si="5"/>
        <v>0.28926373495414737</v>
      </c>
      <c r="I41">
        <f>+G41</f>
        <v>0.28926373495414737</v>
      </c>
      <c r="O41">
        <f t="shared" ca="1" si="3"/>
        <v>0.19368307664815548</v>
      </c>
      <c r="Q41" s="1">
        <f t="shared" si="4"/>
        <v>12327.392</v>
      </c>
    </row>
    <row r="42" spans="1:17" x14ac:dyDescent="0.2">
      <c r="A42" t="s">
        <v>43</v>
      </c>
      <c r="B42" s="2"/>
      <c r="C42" s="3">
        <v>33548.858999999997</v>
      </c>
      <c r="D42" s="3" t="s">
        <v>44</v>
      </c>
      <c r="E42">
        <f t="shared" si="0"/>
        <v>-14551.869130800183</v>
      </c>
      <c r="F42">
        <f t="shared" si="1"/>
        <v>-14552</v>
      </c>
      <c r="G42">
        <f t="shared" si="5"/>
        <v>0.1812843811858329</v>
      </c>
      <c r="I42">
        <f>+G42</f>
        <v>0.1812843811858329</v>
      </c>
      <c r="O42">
        <f t="shared" ca="1" si="3"/>
        <v>0.14242932040099981</v>
      </c>
      <c r="Q42" s="1">
        <f t="shared" si="4"/>
        <v>18530.358999999997</v>
      </c>
    </row>
    <row r="43" spans="1:17" x14ac:dyDescent="0.2">
      <c r="A43" t="s">
        <v>43</v>
      </c>
      <c r="B43" s="2"/>
      <c r="C43" s="3">
        <v>42786.724000000002</v>
      </c>
      <c r="D43" s="3" t="s">
        <v>44</v>
      </c>
      <c r="E43">
        <f t="shared" si="0"/>
        <v>-7883.0541305485422</v>
      </c>
      <c r="F43">
        <f t="shared" si="1"/>
        <v>-7883</v>
      </c>
      <c r="G43">
        <f t="shared" si="5"/>
        <v>-7.4983441554650199E-2</v>
      </c>
      <c r="I43">
        <f>+G43</f>
        <v>-7.4983441554650199E-2</v>
      </c>
      <c r="O43">
        <f t="shared" ca="1" si="3"/>
        <v>6.6098078683205899E-2</v>
      </c>
      <c r="Q43" s="1">
        <f t="shared" si="4"/>
        <v>27768.224000000002</v>
      </c>
    </row>
    <row r="44" spans="1:17" x14ac:dyDescent="0.2">
      <c r="A44" t="s">
        <v>43</v>
      </c>
      <c r="B44" s="2"/>
      <c r="C44" s="3">
        <v>43954.527000000002</v>
      </c>
      <c r="D44" s="3" t="s">
        <v>44</v>
      </c>
      <c r="E44">
        <f t="shared" si="0"/>
        <v>-7040.0171123913315</v>
      </c>
      <c r="F44">
        <f t="shared" si="1"/>
        <v>-7040</v>
      </c>
      <c r="G44">
        <f t="shared" si="5"/>
        <v>-2.3704655315668788E-2</v>
      </c>
      <c r="I44">
        <f>+G44</f>
        <v>-2.3704655315668788E-2</v>
      </c>
      <c r="O44">
        <f t="shared" ca="1" si="3"/>
        <v>5.6449370215954406E-2</v>
      </c>
      <c r="Q44" s="1">
        <f t="shared" si="4"/>
        <v>28936.027000000002</v>
      </c>
    </row>
    <row r="45" spans="1:17" x14ac:dyDescent="0.2">
      <c r="A45" t="s">
        <v>43</v>
      </c>
      <c r="B45" s="2"/>
      <c r="C45" s="3">
        <v>45702.754000000001</v>
      </c>
      <c r="D45" s="3" t="s">
        <v>44</v>
      </c>
      <c r="E45">
        <f t="shared" si="0"/>
        <v>-5777.9719925021682</v>
      </c>
      <c r="F45">
        <f t="shared" si="1"/>
        <v>-5778</v>
      </c>
      <c r="G45">
        <f t="shared" si="5"/>
        <v>3.8796920285676606E-2</v>
      </c>
      <c r="I45">
        <f>+G45</f>
        <v>3.8796920285676606E-2</v>
      </c>
      <c r="O45">
        <f t="shared" ca="1" si="3"/>
        <v>4.2004921715751084E-2</v>
      </c>
      <c r="Q45" s="1">
        <f t="shared" si="4"/>
        <v>30684.254000000001</v>
      </c>
    </row>
    <row r="46" spans="1:17" x14ac:dyDescent="0.2">
      <c r="A46" t="s">
        <v>43</v>
      </c>
      <c r="B46" s="2"/>
      <c r="C46" s="3">
        <v>46079.574000000001</v>
      </c>
      <c r="D46" s="3" t="s">
        <v>44</v>
      </c>
      <c r="E46">
        <f t="shared" si="0"/>
        <v>-5505.945624029061</v>
      </c>
      <c r="F46">
        <f t="shared" si="1"/>
        <v>-5506</v>
      </c>
      <c r="G46">
        <f t="shared" si="5"/>
        <v>7.5323408847907558E-2</v>
      </c>
      <c r="I46">
        <f>+G46</f>
        <v>7.5323408847907558E-2</v>
      </c>
      <c r="O46">
        <f t="shared" ca="1" si="3"/>
        <v>3.8891696682426757E-2</v>
      </c>
      <c r="Q46" s="1">
        <f t="shared" si="4"/>
        <v>31061.074000000001</v>
      </c>
    </row>
    <row r="47" spans="1:17" x14ac:dyDescent="0.2">
      <c r="A47" t="s">
        <v>43</v>
      </c>
      <c r="B47" s="2"/>
      <c r="C47" s="3">
        <v>46378.815999999999</v>
      </c>
      <c r="D47" s="3" t="s">
        <v>44</v>
      </c>
      <c r="E47">
        <f t="shared" si="0"/>
        <v>-5289.9228159121103</v>
      </c>
      <c r="F47">
        <f t="shared" si="1"/>
        <v>-5290</v>
      </c>
      <c r="G47">
        <f t="shared" si="5"/>
        <v>0.10691797328763641</v>
      </c>
      <c r="I47">
        <f>+G47</f>
        <v>0.10691797328763641</v>
      </c>
      <c r="O47">
        <f t="shared" ca="1" si="3"/>
        <v>3.6419429744198616E-2</v>
      </c>
      <c r="Q47" s="1">
        <f t="shared" si="4"/>
        <v>31360.315999999999</v>
      </c>
    </row>
    <row r="48" spans="1:17" x14ac:dyDescent="0.2">
      <c r="A48" t="s">
        <v>43</v>
      </c>
      <c r="B48" s="2"/>
      <c r="C48" s="3">
        <v>46709.824000000001</v>
      </c>
      <c r="D48" s="3" t="s">
        <v>44</v>
      </c>
      <c r="E48">
        <f t="shared" si="0"/>
        <v>-5050.9681315122734</v>
      </c>
      <c r="F48">
        <f t="shared" si="1"/>
        <v>-5051</v>
      </c>
      <c r="G48">
        <f t="shared" si="5"/>
        <v>4.4145292282337323E-2</v>
      </c>
      <c r="I48">
        <f>+G48</f>
        <v>4.4145292282337323E-2</v>
      </c>
      <c r="O48">
        <f t="shared" ca="1" si="3"/>
        <v>3.3683912159770249E-2</v>
      </c>
      <c r="Q48" s="1">
        <f t="shared" si="4"/>
        <v>31691.324000000001</v>
      </c>
    </row>
    <row r="49" spans="1:17" x14ac:dyDescent="0.2">
      <c r="A49" t="s">
        <v>43</v>
      </c>
      <c r="B49" s="2"/>
      <c r="C49" s="3">
        <v>46788.661999999997</v>
      </c>
      <c r="D49" s="3" t="s">
        <v>44</v>
      </c>
      <c r="E49">
        <f t="shared" si="0"/>
        <v>-4994.0549771210999</v>
      </c>
      <c r="F49">
        <f t="shared" si="1"/>
        <v>-4994</v>
      </c>
      <c r="G49">
        <f t="shared" si="5"/>
        <v>-7.6156142102263402E-2</v>
      </c>
      <c r="I49">
        <f>+G49</f>
        <v>-7.6156142102263402E-2</v>
      </c>
      <c r="O49">
        <f t="shared" ca="1" si="3"/>
        <v>3.3031508384404488E-2</v>
      </c>
      <c r="Q49" s="1">
        <f t="shared" si="4"/>
        <v>31770.161999999997</v>
      </c>
    </row>
    <row r="50" spans="1:17" x14ac:dyDescent="0.2">
      <c r="A50" t="s">
        <v>43</v>
      </c>
      <c r="B50" s="2"/>
      <c r="C50" s="3">
        <v>46845.582000000002</v>
      </c>
      <c r="D50" s="3" t="s">
        <v>44</v>
      </c>
      <c r="E50">
        <f t="shared" si="0"/>
        <v>-4952.9644275390965</v>
      </c>
      <c r="F50">
        <f t="shared" si="1"/>
        <v>-4953</v>
      </c>
      <c r="G50">
        <f t="shared" si="5"/>
        <v>4.9276159486908E-2</v>
      </c>
      <c r="I50">
        <f>+G50</f>
        <v>4.9276159486908E-2</v>
      </c>
      <c r="O50">
        <f t="shared" ca="1" si="3"/>
        <v>3.2562235493351931E-2</v>
      </c>
      <c r="Q50" s="1">
        <f t="shared" si="4"/>
        <v>31827.082000000002</v>
      </c>
    </row>
    <row r="51" spans="1:17" x14ac:dyDescent="0.2">
      <c r="A51" s="28" t="s">
        <v>149</v>
      </c>
      <c r="B51" s="30" t="s">
        <v>38</v>
      </c>
      <c r="C51" s="29">
        <v>47151.652000000002</v>
      </c>
      <c r="D51" s="3"/>
      <c r="E51">
        <f t="shared" si="0"/>
        <v>-4732.0124860323713</v>
      </c>
      <c r="F51">
        <f t="shared" si="1"/>
        <v>-4732</v>
      </c>
      <c r="G51">
        <f t="shared" si="5"/>
        <v>-1.7296068559517153E-2</v>
      </c>
      <c r="J51">
        <f>+G51</f>
        <v>-1.7296068559517153E-2</v>
      </c>
      <c r="O51">
        <f t="shared" ca="1" si="3"/>
        <v>3.0032740153775911E-2</v>
      </c>
      <c r="Q51" s="1">
        <f t="shared" si="4"/>
        <v>32133.152000000002</v>
      </c>
    </row>
    <row r="52" spans="1:17" x14ac:dyDescent="0.2">
      <c r="A52" s="7" t="s">
        <v>43</v>
      </c>
      <c r="B52" s="61"/>
      <c r="C52" s="8">
        <v>47593.550999999999</v>
      </c>
      <c r="D52" s="8" t="s">
        <v>44</v>
      </c>
      <c r="E52">
        <f t="shared" si="0"/>
        <v>-4413.0055856504996</v>
      </c>
      <c r="F52">
        <f t="shared" si="1"/>
        <v>-4413</v>
      </c>
      <c r="G52">
        <f t="shared" si="5"/>
        <v>-7.7374293978209607E-3</v>
      </c>
      <c r="I52">
        <f>+G52</f>
        <v>-7.7374293978209607E-3</v>
      </c>
      <c r="O52">
        <f t="shared" ca="1" si="3"/>
        <v>2.6381568147781573E-2</v>
      </c>
      <c r="Q52" s="1">
        <f t="shared" si="4"/>
        <v>32575.050999999999</v>
      </c>
    </row>
    <row r="53" spans="1:17" x14ac:dyDescent="0.2">
      <c r="A53" s="28" t="s">
        <v>149</v>
      </c>
      <c r="B53" s="30" t="s">
        <v>38</v>
      </c>
      <c r="C53" s="29">
        <v>47942.654999999999</v>
      </c>
      <c r="D53" s="3"/>
      <c r="E53">
        <f t="shared" si="0"/>
        <v>-4160.9873983477146</v>
      </c>
      <c r="F53">
        <f t="shared" si="1"/>
        <v>-4161</v>
      </c>
      <c r="G53">
        <f t="shared" si="5"/>
        <v>1.7456229121307842E-2</v>
      </c>
      <c r="J53">
        <f>+G53</f>
        <v>1.7456229121307842E-2</v>
      </c>
      <c r="O53">
        <f t="shared" ca="1" si="3"/>
        <v>2.3497256719848737E-2</v>
      </c>
      <c r="Q53" s="1">
        <f t="shared" si="4"/>
        <v>32924.154999999999</v>
      </c>
    </row>
    <row r="54" spans="1:17" x14ac:dyDescent="0.2">
      <c r="A54" s="28" t="s">
        <v>163</v>
      </c>
      <c r="B54" s="30" t="s">
        <v>38</v>
      </c>
      <c r="C54" s="29">
        <v>48628.339500000002</v>
      </c>
      <c r="D54" s="3"/>
      <c r="E54">
        <f t="shared" si="0"/>
        <v>-3665.991738740212</v>
      </c>
      <c r="F54">
        <f t="shared" si="1"/>
        <v>-3666</v>
      </c>
      <c r="G54">
        <f t="shared" si="5"/>
        <v>1.1443772644270211E-2</v>
      </c>
      <c r="J54">
        <f>+G54</f>
        <v>1.1443772644270211E-2</v>
      </c>
      <c r="O54">
        <f t="shared" ca="1" si="3"/>
        <v>1.783164498640924E-2</v>
      </c>
      <c r="Q54" s="1">
        <f t="shared" si="4"/>
        <v>33609.839500000002</v>
      </c>
    </row>
    <row r="55" spans="1:17" x14ac:dyDescent="0.2">
      <c r="A55" s="7" t="s">
        <v>41</v>
      </c>
      <c r="B55" s="61" t="s">
        <v>42</v>
      </c>
      <c r="C55" s="8">
        <v>48983.652300000002</v>
      </c>
      <c r="D55" s="8">
        <v>1E-3</v>
      </c>
      <c r="E55">
        <f t="shared" si="0"/>
        <v>-3409.4914185448629</v>
      </c>
      <c r="F55">
        <f t="shared" si="1"/>
        <v>-3409.5</v>
      </c>
      <c r="G55">
        <f t="shared" si="5"/>
        <v>1.1887317923537921E-2</v>
      </c>
      <c r="J55">
        <f>+G55</f>
        <v>1.1887317923537921E-2</v>
      </c>
      <c r="O55">
        <f t="shared" ca="1" si="3"/>
        <v>1.4895827997263321E-2</v>
      </c>
      <c r="Q55" s="1">
        <f t="shared" si="4"/>
        <v>33965.152300000002</v>
      </c>
    </row>
    <row r="56" spans="1:17" x14ac:dyDescent="0.2">
      <c r="A56" s="7" t="s">
        <v>41</v>
      </c>
      <c r="B56" s="61" t="s">
        <v>38</v>
      </c>
      <c r="C56" s="8">
        <v>49017.591200000003</v>
      </c>
      <c r="D56" s="8">
        <v>8.9999999999999998E-4</v>
      </c>
      <c r="E56">
        <f t="shared" si="0"/>
        <v>-3384.9909256915848</v>
      </c>
      <c r="F56">
        <f t="shared" si="1"/>
        <v>-3385</v>
      </c>
      <c r="G56">
        <f t="shared" si="5"/>
        <v>1.2570034719828982E-2</v>
      </c>
      <c r="J56">
        <f>+G56</f>
        <v>1.2570034719828982E-2</v>
      </c>
      <c r="O56">
        <f t="shared" ca="1" si="3"/>
        <v>1.461540883065874E-2</v>
      </c>
      <c r="Q56" s="1">
        <f t="shared" si="4"/>
        <v>33999.091200000003</v>
      </c>
    </row>
    <row r="57" spans="1:17" x14ac:dyDescent="0.2">
      <c r="A57" s="9" t="s">
        <v>37</v>
      </c>
      <c r="B57" s="10" t="s">
        <v>38</v>
      </c>
      <c r="C57" s="9">
        <v>53327.733899999999</v>
      </c>
      <c r="D57" s="9">
        <v>1.5E-3</v>
      </c>
      <c r="E57">
        <f t="shared" si="0"/>
        <v>-273.49879076808588</v>
      </c>
      <c r="F57">
        <f t="shared" si="1"/>
        <v>-273.5</v>
      </c>
      <c r="G57">
        <f t="shared" si="5"/>
        <v>1.6750683862483129E-3</v>
      </c>
      <c r="L57">
        <f>+G57</f>
        <v>1.6750683862483129E-3</v>
      </c>
      <c r="O57">
        <f t="shared" ca="1" si="3"/>
        <v>-2.0997825328123047E-2</v>
      </c>
      <c r="Q57" s="1">
        <f t="shared" si="4"/>
        <v>38309.233899999999</v>
      </c>
    </row>
    <row r="58" spans="1:17" x14ac:dyDescent="0.2">
      <c r="A58" s="7" t="s">
        <v>12</v>
      </c>
      <c r="B58" s="61"/>
      <c r="C58" s="9">
        <v>53706.592400000001</v>
      </c>
      <c r="D58" s="8" t="s">
        <v>14</v>
      </c>
      <c r="E58">
        <f t="shared" si="0"/>
        <v>-8.2908832020749319E-4</v>
      </c>
      <c r="F58">
        <f t="shared" si="1"/>
        <v>0</v>
      </c>
      <c r="G58">
        <f t="shared" si="5"/>
        <v>-1.1484807982924394E-3</v>
      </c>
      <c r="H58">
        <v>-1.1484807982924394E-3</v>
      </c>
      <c r="J58">
        <f>+G58</f>
        <v>-1.1484807982924394E-3</v>
      </c>
      <c r="O58">
        <f t="shared" ca="1" si="3"/>
        <v>-2.4128218881851737E-2</v>
      </c>
      <c r="Q58" s="1">
        <f t="shared" si="4"/>
        <v>38688.092400000001</v>
      </c>
    </row>
    <row r="59" spans="1:17" x14ac:dyDescent="0.2">
      <c r="A59" s="9" t="s">
        <v>36</v>
      </c>
      <c r="B59" s="11"/>
      <c r="C59" s="9">
        <v>53706.592400000001</v>
      </c>
      <c r="D59" s="9">
        <v>2.3999999999999998E-3</v>
      </c>
      <c r="E59">
        <f t="shared" si="0"/>
        <v>-8.2908832020749319E-4</v>
      </c>
      <c r="F59">
        <f t="shared" si="1"/>
        <v>0</v>
      </c>
      <c r="G59">
        <f t="shared" si="5"/>
        <v>-1.1484807982924394E-3</v>
      </c>
      <c r="H59">
        <v>-1.1484807982924394E-3</v>
      </c>
      <c r="L59">
        <f>+G59</f>
        <v>-1.1484807982924394E-3</v>
      </c>
      <c r="O59">
        <f t="shared" ca="1" si="3"/>
        <v>-2.4128218881851737E-2</v>
      </c>
      <c r="Q59" s="1">
        <f t="shared" si="4"/>
        <v>38688.092400000001</v>
      </c>
    </row>
    <row r="60" spans="1:17" x14ac:dyDescent="0.2">
      <c r="A60" s="12" t="s">
        <v>45</v>
      </c>
      <c r="B60" s="13" t="s">
        <v>38</v>
      </c>
      <c r="C60" s="14">
        <v>55856.462789999998</v>
      </c>
      <c r="D60" s="14">
        <v>6.9999999999999999E-4</v>
      </c>
      <c r="E60">
        <f t="shared" si="0"/>
        <v>1551.9906652048755</v>
      </c>
      <c r="F60">
        <f t="shared" si="1"/>
        <v>1552</v>
      </c>
      <c r="G60">
        <f t="shared" si="5"/>
        <v>-1.2930869597767014E-2</v>
      </c>
      <c r="L60">
        <f>+G60</f>
        <v>-1.2930869597767014E-2</v>
      </c>
      <c r="O60">
        <f t="shared" ca="1" si="3"/>
        <v>-4.1891914660231726E-2</v>
      </c>
      <c r="Q60" s="1">
        <f t="shared" si="4"/>
        <v>40837.962789999998</v>
      </c>
    </row>
    <row r="61" spans="1:17" x14ac:dyDescent="0.2">
      <c r="B61" s="2"/>
      <c r="C61" s="3"/>
      <c r="D61" s="3"/>
    </row>
    <row r="62" spans="1:17" x14ac:dyDescent="0.2">
      <c r="B62" s="2"/>
      <c r="C62" s="3"/>
      <c r="D62" s="3"/>
    </row>
    <row r="63" spans="1:17" x14ac:dyDescent="0.2">
      <c r="B63" s="2"/>
      <c r="C63" s="3"/>
      <c r="D63" s="3"/>
    </row>
    <row r="64" spans="1:17" x14ac:dyDescent="0.2">
      <c r="B64" s="2"/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4"/>
  <sheetViews>
    <sheetView topLeftCell="A7" workbookViewId="0">
      <selection activeCell="A43" sqref="A43:C4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5" t="s">
        <v>47</v>
      </c>
      <c r="I1" s="16" t="s">
        <v>48</v>
      </c>
      <c r="J1" s="17" t="s">
        <v>49</v>
      </c>
    </row>
    <row r="2" spans="1:16" x14ac:dyDescent="0.2">
      <c r="I2" s="18" t="s">
        <v>50</v>
      </c>
      <c r="J2" s="19" t="s">
        <v>51</v>
      </c>
    </row>
    <row r="3" spans="1:16" x14ac:dyDescent="0.2">
      <c r="A3" s="20" t="s">
        <v>52</v>
      </c>
      <c r="I3" s="18" t="s">
        <v>53</v>
      </c>
      <c r="J3" s="19" t="s">
        <v>44</v>
      </c>
    </row>
    <row r="4" spans="1:16" x14ac:dyDescent="0.2">
      <c r="I4" s="18" t="s">
        <v>54</v>
      </c>
      <c r="J4" s="19" t="s">
        <v>44</v>
      </c>
    </row>
    <row r="5" spans="1:16" ht="13.5" thickBot="1" x14ac:dyDescent="0.25">
      <c r="I5" s="21" t="s">
        <v>55</v>
      </c>
      <c r="J5" s="22" t="s">
        <v>56</v>
      </c>
    </row>
    <row r="10" spans="1:16" ht="13.5" thickBot="1" x14ac:dyDescent="0.25"/>
    <row r="11" spans="1:16" ht="12.75" customHeight="1" thickBot="1" x14ac:dyDescent="0.25">
      <c r="A11" s="3" t="str">
        <f t="shared" ref="A11:A48" si="0">P11</f>
        <v> PASP 107.653 </v>
      </c>
      <c r="B11" s="2" t="str">
        <f t="shared" ref="B11:B48" si="1">IF(H11=INT(H11),"I","II")</f>
        <v>I</v>
      </c>
      <c r="C11" s="3">
        <f t="shared" ref="C11:C48" si="2">1*G11</f>
        <v>16061.805</v>
      </c>
      <c r="D11" s="4" t="str">
        <f t="shared" ref="D11:D48" si="3">VLOOKUP(F11,I$1:J$5,2,FALSE)</f>
        <v>vis</v>
      </c>
      <c r="E11" s="23">
        <f>VLOOKUP(C11,Active!C$21:E$973,3,FALSE)</f>
        <v>-27175.773899424792</v>
      </c>
      <c r="F11" s="2" t="s">
        <v>55</v>
      </c>
      <c r="G11" s="4" t="str">
        <f t="shared" ref="G11:G48" si="4">MID(I11,3,LEN(I11)-3)</f>
        <v>16061.805</v>
      </c>
      <c r="H11" s="3">
        <f t="shared" ref="H11:H48" si="5">1*K11</f>
        <v>-26306</v>
      </c>
      <c r="I11" s="24" t="s">
        <v>57</v>
      </c>
      <c r="J11" s="25" t="s">
        <v>58</v>
      </c>
      <c r="K11" s="24">
        <v>-26306</v>
      </c>
      <c r="L11" s="24" t="s">
        <v>59</v>
      </c>
      <c r="M11" s="25" t="s">
        <v>60</v>
      </c>
      <c r="N11" s="25"/>
      <c r="O11" s="26" t="s">
        <v>61</v>
      </c>
      <c r="P11" s="26" t="s">
        <v>62</v>
      </c>
    </row>
    <row r="12" spans="1:16" ht="12.75" customHeight="1" thickBot="1" x14ac:dyDescent="0.25">
      <c r="A12" s="3" t="str">
        <f t="shared" si="0"/>
        <v> PASP 107.653 </v>
      </c>
      <c r="B12" s="2" t="str">
        <f t="shared" si="1"/>
        <v>I</v>
      </c>
      <c r="C12" s="3">
        <f t="shared" si="2"/>
        <v>16417.769</v>
      </c>
      <c r="D12" s="4" t="str">
        <f t="shared" si="3"/>
        <v>vis</v>
      </c>
      <c r="E12" s="23">
        <f>VLOOKUP(C12,Active!C$21:E$973,3,FALSE)</f>
        <v>-26918.803477931342</v>
      </c>
      <c r="F12" s="2" t="s">
        <v>55</v>
      </c>
      <c r="G12" s="4" t="str">
        <f t="shared" si="4"/>
        <v>16417.769</v>
      </c>
      <c r="H12" s="3">
        <f t="shared" si="5"/>
        <v>-26049</v>
      </c>
      <c r="I12" s="24" t="s">
        <v>63</v>
      </c>
      <c r="J12" s="25" t="s">
        <v>64</v>
      </c>
      <c r="K12" s="24">
        <v>-26049</v>
      </c>
      <c r="L12" s="24" t="s">
        <v>65</v>
      </c>
      <c r="M12" s="25" t="s">
        <v>60</v>
      </c>
      <c r="N12" s="25"/>
      <c r="O12" s="26" t="s">
        <v>61</v>
      </c>
      <c r="P12" s="26" t="s">
        <v>62</v>
      </c>
    </row>
    <row r="13" spans="1:16" ht="12.75" customHeight="1" thickBot="1" x14ac:dyDescent="0.25">
      <c r="A13" s="3" t="str">
        <f t="shared" si="0"/>
        <v> PASP 107.653 </v>
      </c>
      <c r="B13" s="2" t="str">
        <f t="shared" si="1"/>
        <v>I</v>
      </c>
      <c r="C13" s="3">
        <f t="shared" si="2"/>
        <v>16460.748</v>
      </c>
      <c r="D13" s="4" t="str">
        <f t="shared" si="3"/>
        <v>vis</v>
      </c>
      <c r="E13" s="23">
        <f>VLOOKUP(C13,Active!C$21:E$973,3,FALSE)</f>
        <v>-26887.776936636808</v>
      </c>
      <c r="F13" s="2" t="s">
        <v>55</v>
      </c>
      <c r="G13" s="4" t="str">
        <f t="shared" si="4"/>
        <v>16460.748</v>
      </c>
      <c r="H13" s="3">
        <f t="shared" si="5"/>
        <v>-26018</v>
      </c>
      <c r="I13" s="24" t="s">
        <v>66</v>
      </c>
      <c r="J13" s="25" t="s">
        <v>67</v>
      </c>
      <c r="K13" s="24">
        <v>-26018</v>
      </c>
      <c r="L13" s="24" t="s">
        <v>68</v>
      </c>
      <c r="M13" s="25" t="s">
        <v>60</v>
      </c>
      <c r="N13" s="25"/>
      <c r="O13" s="26" t="s">
        <v>61</v>
      </c>
      <c r="P13" s="26" t="s">
        <v>62</v>
      </c>
    </row>
    <row r="14" spans="1:16" ht="12.75" customHeight="1" thickBot="1" x14ac:dyDescent="0.25">
      <c r="A14" s="3" t="str">
        <f t="shared" si="0"/>
        <v> PASP 107.653 </v>
      </c>
      <c r="B14" s="2" t="str">
        <f t="shared" si="1"/>
        <v>I</v>
      </c>
      <c r="C14" s="3">
        <f t="shared" si="2"/>
        <v>17528.776000000002</v>
      </c>
      <c r="D14" s="4" t="str">
        <f t="shared" si="3"/>
        <v>vis</v>
      </c>
      <c r="E14" s="23">
        <f>VLOOKUP(C14,Active!C$21:E$973,3,FALSE)</f>
        <v>-26116.767493752686</v>
      </c>
      <c r="F14" s="2" t="s">
        <v>55</v>
      </c>
      <c r="G14" s="4" t="str">
        <f t="shared" si="4"/>
        <v>17528.776</v>
      </c>
      <c r="H14" s="3">
        <f t="shared" si="5"/>
        <v>-25247</v>
      </c>
      <c r="I14" s="24" t="s">
        <v>72</v>
      </c>
      <c r="J14" s="25" t="s">
        <v>73</v>
      </c>
      <c r="K14" s="24">
        <v>-25247</v>
      </c>
      <c r="L14" s="24" t="s">
        <v>74</v>
      </c>
      <c r="M14" s="25" t="s">
        <v>60</v>
      </c>
      <c r="N14" s="25"/>
      <c r="O14" s="26" t="s">
        <v>61</v>
      </c>
      <c r="P14" s="26" t="s">
        <v>62</v>
      </c>
    </row>
    <row r="15" spans="1:16" ht="12.75" customHeight="1" thickBot="1" x14ac:dyDescent="0.25">
      <c r="A15" s="3" t="str">
        <f t="shared" si="0"/>
        <v> PASP 107.653 </v>
      </c>
      <c r="B15" s="2" t="str">
        <f t="shared" si="1"/>
        <v>I</v>
      </c>
      <c r="C15" s="3">
        <f t="shared" si="2"/>
        <v>18682.685000000001</v>
      </c>
      <c r="D15" s="4" t="str">
        <f t="shared" si="3"/>
        <v>vis</v>
      </c>
      <c r="E15" s="23">
        <f>VLOOKUP(C15,Active!C$21:E$973,3,FALSE)</f>
        <v>-25283.760554581637</v>
      </c>
      <c r="F15" s="2" t="s">
        <v>55</v>
      </c>
      <c r="G15" s="4" t="str">
        <f t="shared" si="4"/>
        <v>18682.685</v>
      </c>
      <c r="H15" s="3">
        <f t="shared" si="5"/>
        <v>-24414</v>
      </c>
      <c r="I15" s="24" t="s">
        <v>78</v>
      </c>
      <c r="J15" s="25" t="s">
        <v>79</v>
      </c>
      <c r="K15" s="24">
        <v>-24414</v>
      </c>
      <c r="L15" s="24" t="s">
        <v>80</v>
      </c>
      <c r="M15" s="25" t="s">
        <v>60</v>
      </c>
      <c r="N15" s="25"/>
      <c r="O15" s="26" t="s">
        <v>61</v>
      </c>
      <c r="P15" s="26" t="s">
        <v>62</v>
      </c>
    </row>
    <row r="16" spans="1:16" ht="12.75" customHeight="1" thickBot="1" x14ac:dyDescent="0.25">
      <c r="A16" s="3" t="str">
        <f t="shared" si="0"/>
        <v> PASP 107.653 </v>
      </c>
      <c r="B16" s="2" t="str">
        <f t="shared" si="1"/>
        <v>I</v>
      </c>
      <c r="C16" s="3">
        <f t="shared" si="2"/>
        <v>18988.744999999999</v>
      </c>
      <c r="D16" s="4" t="str">
        <f t="shared" si="3"/>
        <v>vis</v>
      </c>
      <c r="E16" s="23">
        <f>VLOOKUP(C16,Active!C$21:E$973,3,FALSE)</f>
        <v>-25062.815832075194</v>
      </c>
      <c r="F16" s="2" t="s">
        <v>55</v>
      </c>
      <c r="G16" s="4" t="str">
        <f t="shared" si="4"/>
        <v>18988.745</v>
      </c>
      <c r="H16" s="3">
        <f t="shared" si="5"/>
        <v>-24193</v>
      </c>
      <c r="I16" s="24" t="s">
        <v>81</v>
      </c>
      <c r="J16" s="25" t="s">
        <v>82</v>
      </c>
      <c r="K16" s="24">
        <v>-24193</v>
      </c>
      <c r="L16" s="24" t="s">
        <v>83</v>
      </c>
      <c r="M16" s="25" t="s">
        <v>60</v>
      </c>
      <c r="N16" s="25"/>
      <c r="O16" s="26" t="s">
        <v>61</v>
      </c>
      <c r="P16" s="26" t="s">
        <v>62</v>
      </c>
    </row>
    <row r="17" spans="1:16" ht="12.75" customHeight="1" thickBot="1" x14ac:dyDescent="0.25">
      <c r="A17" s="3" t="str">
        <f t="shared" si="0"/>
        <v> PASP 107.653 </v>
      </c>
      <c r="B17" s="2" t="str">
        <f t="shared" si="1"/>
        <v>I</v>
      </c>
      <c r="C17" s="3">
        <f t="shared" si="2"/>
        <v>19326.787</v>
      </c>
      <c r="D17" s="4" t="str">
        <f t="shared" si="3"/>
        <v>vis</v>
      </c>
      <c r="E17" s="23">
        <f>VLOOKUP(C17,Active!C$21:E$973,3,FALSE)</f>
        <v>-24818.783302879856</v>
      </c>
      <c r="F17" s="2" t="s">
        <v>55</v>
      </c>
      <c r="G17" s="4" t="str">
        <f t="shared" si="4"/>
        <v>19326.787</v>
      </c>
      <c r="H17" s="3">
        <f t="shared" si="5"/>
        <v>-23949</v>
      </c>
      <c r="I17" s="24" t="s">
        <v>84</v>
      </c>
      <c r="J17" s="25" t="s">
        <v>85</v>
      </c>
      <c r="K17" s="24">
        <v>-23949</v>
      </c>
      <c r="L17" s="24" t="s">
        <v>86</v>
      </c>
      <c r="M17" s="25" t="s">
        <v>60</v>
      </c>
      <c r="N17" s="25"/>
      <c r="O17" s="26" t="s">
        <v>61</v>
      </c>
      <c r="P17" s="26" t="s">
        <v>62</v>
      </c>
    </row>
    <row r="18" spans="1:16" ht="12.75" customHeight="1" thickBot="1" x14ac:dyDescent="0.25">
      <c r="A18" s="3" t="str">
        <f t="shared" si="0"/>
        <v> PASP 107.653 </v>
      </c>
      <c r="B18" s="2" t="str">
        <f t="shared" si="1"/>
        <v>I</v>
      </c>
      <c r="C18" s="3">
        <f t="shared" si="2"/>
        <v>19337.866000000002</v>
      </c>
      <c r="D18" s="4" t="str">
        <f t="shared" si="3"/>
        <v>vis</v>
      </c>
      <c r="E18" s="23">
        <f>VLOOKUP(C18,Active!C$21:E$973,3,FALSE)</f>
        <v>-24810.785372471928</v>
      </c>
      <c r="F18" s="2" t="s">
        <v>55</v>
      </c>
      <c r="G18" s="4" t="str">
        <f t="shared" si="4"/>
        <v>19337.866</v>
      </c>
      <c r="H18" s="3">
        <f t="shared" si="5"/>
        <v>-23941</v>
      </c>
      <c r="I18" s="24" t="s">
        <v>87</v>
      </c>
      <c r="J18" s="25" t="s">
        <v>88</v>
      </c>
      <c r="K18" s="24">
        <v>-23941</v>
      </c>
      <c r="L18" s="24" t="s">
        <v>89</v>
      </c>
      <c r="M18" s="25" t="s">
        <v>60</v>
      </c>
      <c r="N18" s="25"/>
      <c r="O18" s="26" t="s">
        <v>61</v>
      </c>
      <c r="P18" s="26" t="s">
        <v>62</v>
      </c>
    </row>
    <row r="19" spans="1:16" ht="12.75" customHeight="1" thickBot="1" x14ac:dyDescent="0.25">
      <c r="A19" s="3" t="str">
        <f t="shared" si="0"/>
        <v> PASP 107.653 </v>
      </c>
      <c r="B19" s="2" t="str">
        <f t="shared" si="1"/>
        <v>I</v>
      </c>
      <c r="C19" s="3">
        <f t="shared" si="2"/>
        <v>19412.670999999998</v>
      </c>
      <c r="D19" s="4" t="str">
        <f t="shared" si="3"/>
        <v>vis</v>
      </c>
      <c r="E19" s="23">
        <f>VLOOKUP(C19,Active!C$21:E$973,3,FALSE)</f>
        <v>-24756.783640892845</v>
      </c>
      <c r="F19" s="2" t="s">
        <v>55</v>
      </c>
      <c r="G19" s="4" t="str">
        <f t="shared" si="4"/>
        <v>19412.671</v>
      </c>
      <c r="H19" s="3">
        <f t="shared" si="5"/>
        <v>-23887</v>
      </c>
      <c r="I19" s="24" t="s">
        <v>90</v>
      </c>
      <c r="J19" s="25" t="s">
        <v>91</v>
      </c>
      <c r="K19" s="24">
        <v>-23887</v>
      </c>
      <c r="L19" s="24" t="s">
        <v>86</v>
      </c>
      <c r="M19" s="25" t="s">
        <v>60</v>
      </c>
      <c r="N19" s="25"/>
      <c r="O19" s="26" t="s">
        <v>61</v>
      </c>
      <c r="P19" s="26" t="s">
        <v>62</v>
      </c>
    </row>
    <row r="20" spans="1:16" ht="12.75" customHeight="1" thickBot="1" x14ac:dyDescent="0.25">
      <c r="A20" s="3" t="str">
        <f t="shared" si="0"/>
        <v> PASP 107.653 </v>
      </c>
      <c r="B20" s="2" t="str">
        <f t="shared" si="1"/>
        <v>I</v>
      </c>
      <c r="C20" s="3">
        <f t="shared" si="2"/>
        <v>19725.685000000001</v>
      </c>
      <c r="D20" s="4" t="str">
        <f t="shared" si="3"/>
        <v>vis</v>
      </c>
      <c r="E20" s="23">
        <f>VLOOKUP(C20,Active!C$21:E$973,3,FALSE)</f>
        <v>-24530.818825593127</v>
      </c>
      <c r="F20" s="2" t="s">
        <v>55</v>
      </c>
      <c r="G20" s="4" t="str">
        <f t="shared" si="4"/>
        <v>19725.685</v>
      </c>
      <c r="H20" s="3">
        <f t="shared" si="5"/>
        <v>-23661</v>
      </c>
      <c r="I20" s="24" t="s">
        <v>92</v>
      </c>
      <c r="J20" s="25" t="s">
        <v>93</v>
      </c>
      <c r="K20" s="24">
        <v>-23661</v>
      </c>
      <c r="L20" s="24" t="s">
        <v>94</v>
      </c>
      <c r="M20" s="25" t="s">
        <v>60</v>
      </c>
      <c r="N20" s="25"/>
      <c r="O20" s="26" t="s">
        <v>61</v>
      </c>
      <c r="P20" s="26" t="s">
        <v>62</v>
      </c>
    </row>
    <row r="21" spans="1:16" ht="12.75" customHeight="1" thickBot="1" x14ac:dyDescent="0.25">
      <c r="A21" s="3" t="str">
        <f t="shared" si="0"/>
        <v> PASP 107.653 </v>
      </c>
      <c r="B21" s="2" t="str">
        <f t="shared" si="1"/>
        <v>I</v>
      </c>
      <c r="C21" s="3">
        <f t="shared" si="2"/>
        <v>20398.88</v>
      </c>
      <c r="D21" s="4" t="str">
        <f t="shared" si="3"/>
        <v>vis</v>
      </c>
      <c r="E21" s="23">
        <f>VLOOKUP(C21,Active!C$21:E$973,3,FALSE)</f>
        <v>-24044.839336382745</v>
      </c>
      <c r="F21" s="2" t="s">
        <v>55</v>
      </c>
      <c r="G21" s="4" t="str">
        <f t="shared" si="4"/>
        <v>20398.880</v>
      </c>
      <c r="H21" s="3">
        <f t="shared" si="5"/>
        <v>-23175</v>
      </c>
      <c r="I21" s="24" t="s">
        <v>98</v>
      </c>
      <c r="J21" s="25" t="s">
        <v>99</v>
      </c>
      <c r="K21" s="24">
        <v>-23175</v>
      </c>
      <c r="L21" s="24" t="s">
        <v>100</v>
      </c>
      <c r="M21" s="25" t="s">
        <v>60</v>
      </c>
      <c r="N21" s="25"/>
      <c r="O21" s="26" t="s">
        <v>61</v>
      </c>
      <c r="P21" s="26" t="s">
        <v>62</v>
      </c>
    </row>
    <row r="22" spans="1:16" ht="12.75" customHeight="1" thickBot="1" x14ac:dyDescent="0.25">
      <c r="A22" s="3" t="str">
        <f t="shared" si="0"/>
        <v> PASP 107.653 </v>
      </c>
      <c r="B22" s="2" t="str">
        <f t="shared" si="1"/>
        <v>I</v>
      </c>
      <c r="C22" s="3">
        <f t="shared" si="2"/>
        <v>21217.690999999999</v>
      </c>
      <c r="D22" s="4" t="str">
        <f t="shared" si="3"/>
        <v>vis</v>
      </c>
      <c r="E22" s="23">
        <f>VLOOKUP(C22,Active!C$21:E$973,3,FALSE)</f>
        <v>-23453.739652725213</v>
      </c>
      <c r="F22" s="2" t="s">
        <v>55</v>
      </c>
      <c r="G22" s="4" t="str">
        <f t="shared" si="4"/>
        <v>21217.691</v>
      </c>
      <c r="H22" s="3">
        <f t="shared" si="5"/>
        <v>-22584</v>
      </c>
      <c r="I22" s="24" t="s">
        <v>101</v>
      </c>
      <c r="J22" s="25" t="s">
        <v>102</v>
      </c>
      <c r="K22" s="24">
        <v>-22584</v>
      </c>
      <c r="L22" s="24" t="s">
        <v>103</v>
      </c>
      <c r="M22" s="25" t="s">
        <v>60</v>
      </c>
      <c r="N22" s="25"/>
      <c r="O22" s="26" t="s">
        <v>61</v>
      </c>
      <c r="P22" s="26" t="s">
        <v>62</v>
      </c>
    </row>
    <row r="23" spans="1:16" ht="12.75" customHeight="1" thickBot="1" x14ac:dyDescent="0.25">
      <c r="A23" s="3" t="str">
        <f t="shared" si="0"/>
        <v> PASP 107.653 </v>
      </c>
      <c r="B23" s="2" t="str">
        <f t="shared" si="1"/>
        <v>I</v>
      </c>
      <c r="C23" s="3">
        <f t="shared" si="2"/>
        <v>22321.667000000001</v>
      </c>
      <c r="D23" s="4" t="str">
        <f t="shared" si="3"/>
        <v>vis</v>
      </c>
      <c r="E23" s="23">
        <f>VLOOKUP(C23,Active!C$21:E$973,3,FALSE)</f>
        <v>-22656.779347641968</v>
      </c>
      <c r="F23" s="2" t="s">
        <v>55</v>
      </c>
      <c r="G23" s="4" t="str">
        <f t="shared" si="4"/>
        <v>22321.667</v>
      </c>
      <c r="H23" s="3">
        <f t="shared" si="5"/>
        <v>-21787</v>
      </c>
      <c r="I23" s="24" t="s">
        <v>104</v>
      </c>
      <c r="J23" s="25" t="s">
        <v>105</v>
      </c>
      <c r="K23" s="24">
        <v>-21787</v>
      </c>
      <c r="L23" s="24" t="s">
        <v>106</v>
      </c>
      <c r="M23" s="25" t="s">
        <v>60</v>
      </c>
      <c r="N23" s="25"/>
      <c r="O23" s="26" t="s">
        <v>61</v>
      </c>
      <c r="P23" s="26" t="s">
        <v>62</v>
      </c>
    </row>
    <row r="24" spans="1:16" ht="12.75" customHeight="1" thickBot="1" x14ac:dyDescent="0.25">
      <c r="A24" s="3" t="str">
        <f t="shared" si="0"/>
        <v> PASP 107.653 </v>
      </c>
      <c r="B24" s="2" t="str">
        <f t="shared" si="1"/>
        <v>I</v>
      </c>
      <c r="C24" s="3">
        <f t="shared" si="2"/>
        <v>23019.824000000001</v>
      </c>
      <c r="D24" s="4" t="str">
        <f t="shared" si="3"/>
        <v>vis</v>
      </c>
      <c r="E24" s="23">
        <f>VLOOKUP(C24,Active!C$21:E$973,3,FALSE)</f>
        <v>-22152.779789937817</v>
      </c>
      <c r="F24" s="2" t="s">
        <v>55</v>
      </c>
      <c r="G24" s="4" t="str">
        <f t="shared" si="4"/>
        <v>23019.824</v>
      </c>
      <c r="H24" s="3">
        <f t="shared" si="5"/>
        <v>-21283</v>
      </c>
      <c r="I24" s="24" t="s">
        <v>107</v>
      </c>
      <c r="J24" s="25" t="s">
        <v>108</v>
      </c>
      <c r="K24" s="24">
        <v>-21283</v>
      </c>
      <c r="L24" s="24" t="s">
        <v>109</v>
      </c>
      <c r="M24" s="25" t="s">
        <v>60</v>
      </c>
      <c r="N24" s="25"/>
      <c r="O24" s="26" t="s">
        <v>61</v>
      </c>
      <c r="P24" s="26" t="s">
        <v>62</v>
      </c>
    </row>
    <row r="25" spans="1:16" ht="12.75" customHeight="1" thickBot="1" x14ac:dyDescent="0.25">
      <c r="A25" s="3" t="str">
        <f t="shared" si="0"/>
        <v> PASP 107.653 </v>
      </c>
      <c r="B25" s="2" t="str">
        <f t="shared" si="1"/>
        <v>I</v>
      </c>
      <c r="C25" s="3">
        <f t="shared" si="2"/>
        <v>23799.67</v>
      </c>
      <c r="D25" s="4" t="str">
        <f t="shared" si="3"/>
        <v>vis</v>
      </c>
      <c r="E25" s="23">
        <f>VLOOKUP(C25,Active!C$21:E$973,3,FALSE)</f>
        <v>-21589.808940863248</v>
      </c>
      <c r="F25" s="2" t="s">
        <v>55</v>
      </c>
      <c r="G25" s="4" t="str">
        <f t="shared" si="4"/>
        <v>23799.670</v>
      </c>
      <c r="H25" s="3">
        <f t="shared" si="5"/>
        <v>-20720</v>
      </c>
      <c r="I25" s="24" t="s">
        <v>110</v>
      </c>
      <c r="J25" s="25" t="s">
        <v>111</v>
      </c>
      <c r="K25" s="24">
        <v>-20720</v>
      </c>
      <c r="L25" s="24" t="s">
        <v>112</v>
      </c>
      <c r="M25" s="25" t="s">
        <v>60</v>
      </c>
      <c r="N25" s="25"/>
      <c r="O25" s="26" t="s">
        <v>61</v>
      </c>
      <c r="P25" s="26" t="s">
        <v>62</v>
      </c>
    </row>
    <row r="26" spans="1:16" ht="12.75" customHeight="1" thickBot="1" x14ac:dyDescent="0.25">
      <c r="A26" s="3" t="str">
        <f t="shared" si="0"/>
        <v> PASP 107.653 </v>
      </c>
      <c r="B26" s="2" t="str">
        <f t="shared" si="1"/>
        <v>I</v>
      </c>
      <c r="C26" s="3">
        <f t="shared" si="2"/>
        <v>24942.552</v>
      </c>
      <c r="D26" s="4" t="str">
        <f t="shared" si="3"/>
        <v>vis</v>
      </c>
      <c r="E26" s="23">
        <f>VLOOKUP(C26,Active!C$21:E$973,3,FALSE)</f>
        <v>-20764.762393298675</v>
      </c>
      <c r="F26" s="2" t="s">
        <v>55</v>
      </c>
      <c r="G26" s="4" t="str">
        <f t="shared" si="4"/>
        <v>24942.552</v>
      </c>
      <c r="H26" s="3">
        <f t="shared" si="5"/>
        <v>-19895</v>
      </c>
      <c r="I26" s="24" t="s">
        <v>113</v>
      </c>
      <c r="J26" s="25" t="s">
        <v>114</v>
      </c>
      <c r="K26" s="24">
        <v>-19895</v>
      </c>
      <c r="L26" s="24" t="s">
        <v>115</v>
      </c>
      <c r="M26" s="25" t="s">
        <v>60</v>
      </c>
      <c r="N26" s="25"/>
      <c r="O26" s="26" t="s">
        <v>61</v>
      </c>
      <c r="P26" s="26" t="s">
        <v>62</v>
      </c>
    </row>
    <row r="27" spans="1:16" ht="12.75" customHeight="1" thickBot="1" x14ac:dyDescent="0.25">
      <c r="A27" s="3" t="str">
        <f t="shared" si="0"/>
        <v> PASP 107.653 </v>
      </c>
      <c r="B27" s="2" t="str">
        <f t="shared" si="1"/>
        <v>I</v>
      </c>
      <c r="C27" s="3">
        <f t="shared" si="2"/>
        <v>27345.892</v>
      </c>
      <c r="D27" s="4" t="str">
        <f t="shared" si="3"/>
        <v>vis</v>
      </c>
      <c r="E27" s="23">
        <f>VLOOKUP(C27,Active!C$21:E$973,3,FALSE)</f>
        <v>-19029.791180501696</v>
      </c>
      <c r="F27" s="2" t="s">
        <v>55</v>
      </c>
      <c r="G27" s="4" t="str">
        <f t="shared" si="4"/>
        <v>27345.892</v>
      </c>
      <c r="H27" s="3">
        <f t="shared" si="5"/>
        <v>-18160</v>
      </c>
      <c r="I27" s="24" t="s">
        <v>116</v>
      </c>
      <c r="J27" s="25" t="s">
        <v>117</v>
      </c>
      <c r="K27" s="24">
        <v>-18160</v>
      </c>
      <c r="L27" s="24" t="s">
        <v>74</v>
      </c>
      <c r="M27" s="25" t="s">
        <v>60</v>
      </c>
      <c r="N27" s="25"/>
      <c r="O27" s="26" t="s">
        <v>61</v>
      </c>
      <c r="P27" s="26" t="s">
        <v>62</v>
      </c>
    </row>
    <row r="28" spans="1:16" ht="12.75" customHeight="1" thickBot="1" x14ac:dyDescent="0.25">
      <c r="A28" s="3" t="str">
        <f t="shared" si="0"/>
        <v> PASP 107.653 </v>
      </c>
      <c r="B28" s="2" t="str">
        <f t="shared" si="1"/>
        <v>I</v>
      </c>
      <c r="C28" s="3">
        <f t="shared" si="2"/>
        <v>33548.858999999997</v>
      </c>
      <c r="D28" s="4" t="str">
        <f t="shared" si="3"/>
        <v>vis</v>
      </c>
      <c r="E28" s="23">
        <f>VLOOKUP(C28,Active!C$21:E$973,3,FALSE)</f>
        <v>-14551.869130800183</v>
      </c>
      <c r="F28" s="2" t="s">
        <v>55</v>
      </c>
      <c r="G28" s="4" t="str">
        <f t="shared" si="4"/>
        <v>33548.859</v>
      </c>
      <c r="H28" s="3">
        <f t="shared" si="5"/>
        <v>-13682</v>
      </c>
      <c r="I28" s="24" t="s">
        <v>118</v>
      </c>
      <c r="J28" s="25" t="s">
        <v>119</v>
      </c>
      <c r="K28" s="24">
        <v>-13682</v>
      </c>
      <c r="L28" s="24" t="s">
        <v>120</v>
      </c>
      <c r="M28" s="25" t="s">
        <v>60</v>
      </c>
      <c r="N28" s="25"/>
      <c r="O28" s="26" t="s">
        <v>61</v>
      </c>
      <c r="P28" s="26" t="s">
        <v>62</v>
      </c>
    </row>
    <row r="29" spans="1:16" ht="12.75" customHeight="1" thickBot="1" x14ac:dyDescent="0.25">
      <c r="A29" s="3" t="str">
        <f t="shared" si="0"/>
        <v> PASP 107.653 </v>
      </c>
      <c r="B29" s="2" t="str">
        <f t="shared" si="1"/>
        <v>I</v>
      </c>
      <c r="C29" s="3">
        <f t="shared" si="2"/>
        <v>42786.724000000002</v>
      </c>
      <c r="D29" s="4" t="str">
        <f t="shared" si="3"/>
        <v>vis</v>
      </c>
      <c r="E29" s="23">
        <f>VLOOKUP(C29,Active!C$21:E$973,3,FALSE)</f>
        <v>-7883.0541305485422</v>
      </c>
      <c r="F29" s="2" t="s">
        <v>55</v>
      </c>
      <c r="G29" s="4" t="str">
        <f t="shared" si="4"/>
        <v>42786.724</v>
      </c>
      <c r="H29" s="3">
        <f t="shared" si="5"/>
        <v>-7013</v>
      </c>
      <c r="I29" s="24" t="s">
        <v>121</v>
      </c>
      <c r="J29" s="25" t="s">
        <v>122</v>
      </c>
      <c r="K29" s="24">
        <v>-7013</v>
      </c>
      <c r="L29" s="24" t="s">
        <v>123</v>
      </c>
      <c r="M29" s="25" t="s">
        <v>60</v>
      </c>
      <c r="N29" s="25"/>
      <c r="O29" s="26" t="s">
        <v>61</v>
      </c>
      <c r="P29" s="26" t="s">
        <v>62</v>
      </c>
    </row>
    <row r="30" spans="1:16" ht="12.75" customHeight="1" thickBot="1" x14ac:dyDescent="0.25">
      <c r="A30" s="3" t="str">
        <f t="shared" si="0"/>
        <v> PASP 107.653 </v>
      </c>
      <c r="B30" s="2" t="str">
        <f t="shared" si="1"/>
        <v>I</v>
      </c>
      <c r="C30" s="3">
        <f t="shared" si="2"/>
        <v>43954.527000000002</v>
      </c>
      <c r="D30" s="4" t="str">
        <f t="shared" si="3"/>
        <v>vis</v>
      </c>
      <c r="E30" s="23">
        <f>VLOOKUP(C30,Active!C$21:E$973,3,FALSE)</f>
        <v>-7040.0171123913315</v>
      </c>
      <c r="F30" s="2" t="s">
        <v>55</v>
      </c>
      <c r="G30" s="4" t="str">
        <f t="shared" si="4"/>
        <v>43954.527</v>
      </c>
      <c r="H30" s="3">
        <f t="shared" si="5"/>
        <v>-6170</v>
      </c>
      <c r="I30" s="24" t="s">
        <v>124</v>
      </c>
      <c r="J30" s="25" t="s">
        <v>125</v>
      </c>
      <c r="K30" s="24">
        <v>-6170</v>
      </c>
      <c r="L30" s="24" t="s">
        <v>126</v>
      </c>
      <c r="M30" s="25" t="s">
        <v>60</v>
      </c>
      <c r="N30" s="25"/>
      <c r="O30" s="26" t="s">
        <v>61</v>
      </c>
      <c r="P30" s="26" t="s">
        <v>62</v>
      </c>
    </row>
    <row r="31" spans="1:16" ht="12.75" customHeight="1" thickBot="1" x14ac:dyDescent="0.25">
      <c r="A31" s="3" t="str">
        <f t="shared" si="0"/>
        <v> PASP 107.653 </v>
      </c>
      <c r="B31" s="2" t="str">
        <f t="shared" si="1"/>
        <v>I</v>
      </c>
      <c r="C31" s="3">
        <f t="shared" si="2"/>
        <v>45702.754000000001</v>
      </c>
      <c r="D31" s="4" t="str">
        <f t="shared" si="3"/>
        <v>vis</v>
      </c>
      <c r="E31" s="23">
        <f>VLOOKUP(C31,Active!C$21:E$973,3,FALSE)</f>
        <v>-5777.9719925021682</v>
      </c>
      <c r="F31" s="2" t="s">
        <v>55</v>
      </c>
      <c r="G31" s="4" t="str">
        <f t="shared" si="4"/>
        <v>45702.754</v>
      </c>
      <c r="H31" s="3">
        <f t="shared" si="5"/>
        <v>-4908</v>
      </c>
      <c r="I31" s="24" t="s">
        <v>127</v>
      </c>
      <c r="J31" s="25" t="s">
        <v>128</v>
      </c>
      <c r="K31" s="24">
        <v>-4908</v>
      </c>
      <c r="L31" s="24" t="s">
        <v>129</v>
      </c>
      <c r="M31" s="25" t="s">
        <v>60</v>
      </c>
      <c r="N31" s="25"/>
      <c r="O31" s="26" t="s">
        <v>61</v>
      </c>
      <c r="P31" s="26" t="s">
        <v>62</v>
      </c>
    </row>
    <row r="32" spans="1:16" ht="12.75" customHeight="1" thickBot="1" x14ac:dyDescent="0.25">
      <c r="A32" s="3" t="str">
        <f t="shared" si="0"/>
        <v> PASP 107.653 </v>
      </c>
      <c r="B32" s="2" t="str">
        <f t="shared" si="1"/>
        <v>I</v>
      </c>
      <c r="C32" s="3">
        <f t="shared" si="2"/>
        <v>46079.574000000001</v>
      </c>
      <c r="D32" s="4" t="str">
        <f t="shared" si="3"/>
        <v>vis</v>
      </c>
      <c r="E32" s="23">
        <f>VLOOKUP(C32,Active!C$21:E$973,3,FALSE)</f>
        <v>-5505.945624029061</v>
      </c>
      <c r="F32" s="2" t="s">
        <v>55</v>
      </c>
      <c r="G32" s="4" t="str">
        <f t="shared" si="4"/>
        <v>46079.574</v>
      </c>
      <c r="H32" s="3">
        <f t="shared" si="5"/>
        <v>-4636</v>
      </c>
      <c r="I32" s="24" t="s">
        <v>130</v>
      </c>
      <c r="J32" s="25" t="s">
        <v>131</v>
      </c>
      <c r="K32" s="24">
        <v>-4636</v>
      </c>
      <c r="L32" s="24" t="s">
        <v>132</v>
      </c>
      <c r="M32" s="25" t="s">
        <v>60</v>
      </c>
      <c r="N32" s="25"/>
      <c r="O32" s="26" t="s">
        <v>61</v>
      </c>
      <c r="P32" s="26" t="s">
        <v>62</v>
      </c>
    </row>
    <row r="33" spans="1:16" ht="12.75" customHeight="1" thickBot="1" x14ac:dyDescent="0.25">
      <c r="A33" s="3" t="str">
        <f t="shared" si="0"/>
        <v> PASP 107.653 </v>
      </c>
      <c r="B33" s="2" t="str">
        <f t="shared" si="1"/>
        <v>I</v>
      </c>
      <c r="C33" s="3">
        <f t="shared" si="2"/>
        <v>46378.815999999999</v>
      </c>
      <c r="D33" s="4" t="str">
        <f t="shared" si="3"/>
        <v>vis</v>
      </c>
      <c r="E33" s="23">
        <f>VLOOKUP(C33,Active!C$21:E$973,3,FALSE)</f>
        <v>-5289.9228159121103</v>
      </c>
      <c r="F33" s="2" t="s">
        <v>55</v>
      </c>
      <c r="G33" s="4" t="str">
        <f t="shared" si="4"/>
        <v>46378.816</v>
      </c>
      <c r="H33" s="3">
        <f t="shared" si="5"/>
        <v>-4420</v>
      </c>
      <c r="I33" s="24" t="s">
        <v>133</v>
      </c>
      <c r="J33" s="25" t="s">
        <v>134</v>
      </c>
      <c r="K33" s="24">
        <v>-4420</v>
      </c>
      <c r="L33" s="24" t="s">
        <v>135</v>
      </c>
      <c r="M33" s="25" t="s">
        <v>60</v>
      </c>
      <c r="N33" s="25"/>
      <c r="O33" s="26" t="s">
        <v>61</v>
      </c>
      <c r="P33" s="26" t="s">
        <v>62</v>
      </c>
    </row>
    <row r="34" spans="1:16" ht="12.75" customHeight="1" thickBot="1" x14ac:dyDescent="0.25">
      <c r="A34" s="3" t="str">
        <f t="shared" si="0"/>
        <v> PASP 107.653 </v>
      </c>
      <c r="B34" s="2" t="str">
        <f t="shared" si="1"/>
        <v>I</v>
      </c>
      <c r="C34" s="3">
        <f t="shared" si="2"/>
        <v>46709.824000000001</v>
      </c>
      <c r="D34" s="4" t="str">
        <f t="shared" si="3"/>
        <v>vis</v>
      </c>
      <c r="E34" s="23">
        <f>VLOOKUP(C34,Active!C$21:E$973,3,FALSE)</f>
        <v>-5050.9681315122734</v>
      </c>
      <c r="F34" s="2" t="s">
        <v>55</v>
      </c>
      <c r="G34" s="4" t="str">
        <f t="shared" si="4"/>
        <v>46709.824</v>
      </c>
      <c r="H34" s="3">
        <f t="shared" si="5"/>
        <v>-4181</v>
      </c>
      <c r="I34" s="24" t="s">
        <v>136</v>
      </c>
      <c r="J34" s="25" t="s">
        <v>137</v>
      </c>
      <c r="K34" s="24">
        <v>-4181</v>
      </c>
      <c r="L34" s="24" t="s">
        <v>138</v>
      </c>
      <c r="M34" s="25" t="s">
        <v>60</v>
      </c>
      <c r="N34" s="25"/>
      <c r="O34" s="26" t="s">
        <v>61</v>
      </c>
      <c r="P34" s="26" t="s">
        <v>62</v>
      </c>
    </row>
    <row r="35" spans="1:16" ht="12.75" customHeight="1" thickBot="1" x14ac:dyDescent="0.25">
      <c r="A35" s="3" t="str">
        <f t="shared" si="0"/>
        <v> PASP 107.653 </v>
      </c>
      <c r="B35" s="2" t="str">
        <f t="shared" si="1"/>
        <v>I</v>
      </c>
      <c r="C35" s="3">
        <f t="shared" si="2"/>
        <v>46788.661999999997</v>
      </c>
      <c r="D35" s="4" t="str">
        <f t="shared" si="3"/>
        <v>vis</v>
      </c>
      <c r="E35" s="23">
        <f>VLOOKUP(C35,Active!C$21:E$973,3,FALSE)</f>
        <v>-4994.0549771210999</v>
      </c>
      <c r="F35" s="2" t="s">
        <v>55</v>
      </c>
      <c r="G35" s="4" t="str">
        <f t="shared" si="4"/>
        <v>46788.662</v>
      </c>
      <c r="H35" s="3">
        <f t="shared" si="5"/>
        <v>-4124</v>
      </c>
      <c r="I35" s="24" t="s">
        <v>139</v>
      </c>
      <c r="J35" s="25" t="s">
        <v>140</v>
      </c>
      <c r="K35" s="24">
        <v>-4124</v>
      </c>
      <c r="L35" s="24" t="s">
        <v>141</v>
      </c>
      <c r="M35" s="25" t="s">
        <v>60</v>
      </c>
      <c r="N35" s="25"/>
      <c r="O35" s="26" t="s">
        <v>61</v>
      </c>
      <c r="P35" s="26" t="s">
        <v>62</v>
      </c>
    </row>
    <row r="36" spans="1:16" ht="12.75" customHeight="1" thickBot="1" x14ac:dyDescent="0.25">
      <c r="A36" s="3" t="str">
        <f t="shared" si="0"/>
        <v> PASP 107.653 </v>
      </c>
      <c r="B36" s="2" t="str">
        <f t="shared" si="1"/>
        <v>I</v>
      </c>
      <c r="C36" s="3">
        <f t="shared" si="2"/>
        <v>46845.582000000002</v>
      </c>
      <c r="D36" s="4" t="str">
        <f t="shared" si="3"/>
        <v>vis</v>
      </c>
      <c r="E36" s="23">
        <f>VLOOKUP(C36,Active!C$21:E$973,3,FALSE)</f>
        <v>-4952.9644275390965</v>
      </c>
      <c r="F36" s="2" t="s">
        <v>55</v>
      </c>
      <c r="G36" s="4" t="str">
        <f t="shared" si="4"/>
        <v>46845.582</v>
      </c>
      <c r="H36" s="3">
        <f t="shared" si="5"/>
        <v>-4083</v>
      </c>
      <c r="I36" s="24" t="s">
        <v>142</v>
      </c>
      <c r="J36" s="25" t="s">
        <v>143</v>
      </c>
      <c r="K36" s="24">
        <v>-4083</v>
      </c>
      <c r="L36" s="24" t="s">
        <v>144</v>
      </c>
      <c r="M36" s="25" t="s">
        <v>60</v>
      </c>
      <c r="N36" s="25"/>
      <c r="O36" s="26" t="s">
        <v>61</v>
      </c>
      <c r="P36" s="26" t="s">
        <v>62</v>
      </c>
    </row>
    <row r="37" spans="1:16" ht="12.75" customHeight="1" thickBot="1" x14ac:dyDescent="0.25">
      <c r="A37" s="3" t="str">
        <f t="shared" si="0"/>
        <v> PASP 107.653 </v>
      </c>
      <c r="B37" s="2" t="str">
        <f t="shared" si="1"/>
        <v>I</v>
      </c>
      <c r="C37" s="3">
        <f t="shared" si="2"/>
        <v>47593.550999999999</v>
      </c>
      <c r="D37" s="4" t="str">
        <f t="shared" si="3"/>
        <v>vis</v>
      </c>
      <c r="E37" s="23">
        <f>VLOOKUP(C37,Active!C$21:E$973,3,FALSE)</f>
        <v>-4413.0055856504996</v>
      </c>
      <c r="F37" s="2" t="s">
        <v>55</v>
      </c>
      <c r="G37" s="4" t="str">
        <f t="shared" si="4"/>
        <v>47593.551</v>
      </c>
      <c r="H37" s="3">
        <f t="shared" si="5"/>
        <v>-3543</v>
      </c>
      <c r="I37" s="24" t="s">
        <v>150</v>
      </c>
      <c r="J37" s="25" t="s">
        <v>151</v>
      </c>
      <c r="K37" s="24">
        <v>-3543</v>
      </c>
      <c r="L37" s="24" t="s">
        <v>152</v>
      </c>
      <c r="M37" s="25" t="s">
        <v>60</v>
      </c>
      <c r="N37" s="25"/>
      <c r="O37" s="26" t="s">
        <v>61</v>
      </c>
      <c r="P37" s="26" t="s">
        <v>62</v>
      </c>
    </row>
    <row r="38" spans="1:16" ht="12.75" customHeight="1" thickBot="1" x14ac:dyDescent="0.25">
      <c r="A38" s="3" t="str">
        <f t="shared" si="0"/>
        <v> PASP 107.653 </v>
      </c>
      <c r="B38" s="2" t="str">
        <f t="shared" si="1"/>
        <v>II</v>
      </c>
      <c r="C38" s="3">
        <f t="shared" si="2"/>
        <v>48983.652300000002</v>
      </c>
      <c r="D38" s="4" t="str">
        <f t="shared" si="3"/>
        <v>vis</v>
      </c>
      <c r="E38" s="23">
        <f>VLOOKUP(C38,Active!C$21:E$973,3,FALSE)</f>
        <v>-3409.4914185448629</v>
      </c>
      <c r="F38" s="2" t="s">
        <v>55</v>
      </c>
      <c r="G38" s="4" t="str">
        <f t="shared" si="4"/>
        <v>48983.6523</v>
      </c>
      <c r="H38" s="3">
        <f t="shared" si="5"/>
        <v>-2539.5</v>
      </c>
      <c r="I38" s="24" t="s">
        <v>164</v>
      </c>
      <c r="J38" s="25" t="s">
        <v>165</v>
      </c>
      <c r="K38" s="24">
        <v>-2539.5</v>
      </c>
      <c r="L38" s="24" t="s">
        <v>166</v>
      </c>
      <c r="M38" s="25" t="s">
        <v>156</v>
      </c>
      <c r="N38" s="25" t="s">
        <v>157</v>
      </c>
      <c r="O38" s="26" t="s">
        <v>61</v>
      </c>
      <c r="P38" s="26" t="s">
        <v>62</v>
      </c>
    </row>
    <row r="39" spans="1:16" ht="12.75" customHeight="1" thickBot="1" x14ac:dyDescent="0.25">
      <c r="A39" s="3" t="str">
        <f t="shared" si="0"/>
        <v> PASP 107.653 </v>
      </c>
      <c r="B39" s="2" t="str">
        <f t="shared" si="1"/>
        <v>I</v>
      </c>
      <c r="C39" s="3">
        <f t="shared" si="2"/>
        <v>49017.591200000003</v>
      </c>
      <c r="D39" s="4" t="str">
        <f t="shared" si="3"/>
        <v>vis</v>
      </c>
      <c r="E39" s="23">
        <f>VLOOKUP(C39,Active!C$21:E$973,3,FALSE)</f>
        <v>-3384.9909256915848</v>
      </c>
      <c r="F39" s="2" t="s">
        <v>55</v>
      </c>
      <c r="G39" s="4" t="str">
        <f t="shared" si="4"/>
        <v>49017.5912</v>
      </c>
      <c r="H39" s="3">
        <f t="shared" si="5"/>
        <v>-2515</v>
      </c>
      <c r="I39" s="24" t="s">
        <v>167</v>
      </c>
      <c r="J39" s="25" t="s">
        <v>168</v>
      </c>
      <c r="K39" s="24">
        <v>-2515</v>
      </c>
      <c r="L39" s="24" t="s">
        <v>169</v>
      </c>
      <c r="M39" s="25" t="s">
        <v>156</v>
      </c>
      <c r="N39" s="25" t="s">
        <v>157</v>
      </c>
      <c r="O39" s="26" t="s">
        <v>61</v>
      </c>
      <c r="P39" s="26" t="s">
        <v>62</v>
      </c>
    </row>
    <row r="40" spans="1:16" ht="12.75" customHeight="1" thickBot="1" x14ac:dyDescent="0.25">
      <c r="A40" s="3" t="str">
        <f t="shared" si="0"/>
        <v>IBVS 5843 </v>
      </c>
      <c r="B40" s="2" t="str">
        <f t="shared" si="1"/>
        <v>II</v>
      </c>
      <c r="C40" s="3">
        <f t="shared" si="2"/>
        <v>53327.733899999999</v>
      </c>
      <c r="D40" s="4" t="str">
        <f t="shared" si="3"/>
        <v>vis</v>
      </c>
      <c r="E40" s="23">
        <f>VLOOKUP(C40,Active!C$21:E$973,3,FALSE)</f>
        <v>-273.49879076808588</v>
      </c>
      <c r="F40" s="2" t="s">
        <v>55</v>
      </c>
      <c r="G40" s="4" t="str">
        <f t="shared" si="4"/>
        <v>53327.7339</v>
      </c>
      <c r="H40" s="3">
        <f t="shared" si="5"/>
        <v>596.5</v>
      </c>
      <c r="I40" s="24" t="s">
        <v>170</v>
      </c>
      <c r="J40" s="25" t="s">
        <v>171</v>
      </c>
      <c r="K40" s="24">
        <v>596.5</v>
      </c>
      <c r="L40" s="24" t="s">
        <v>172</v>
      </c>
      <c r="M40" s="25" t="s">
        <v>173</v>
      </c>
      <c r="N40" s="25" t="s">
        <v>174</v>
      </c>
      <c r="O40" s="26" t="s">
        <v>175</v>
      </c>
      <c r="P40" s="27" t="s">
        <v>176</v>
      </c>
    </row>
    <row r="41" spans="1:16" ht="12.75" customHeight="1" thickBot="1" x14ac:dyDescent="0.25">
      <c r="A41" s="3" t="str">
        <f t="shared" si="0"/>
        <v>BAVM 178 </v>
      </c>
      <c r="B41" s="2" t="str">
        <f t="shared" si="1"/>
        <v>I</v>
      </c>
      <c r="C41" s="3">
        <f t="shared" si="2"/>
        <v>53706.592400000001</v>
      </c>
      <c r="D41" s="4" t="str">
        <f t="shared" si="3"/>
        <v>vis</v>
      </c>
      <c r="E41" s="23">
        <f>VLOOKUP(C41,Active!C$21:E$973,3,FALSE)</f>
        <v>-8.2908832020749319E-4</v>
      </c>
      <c r="F41" s="2" t="s">
        <v>55</v>
      </c>
      <c r="G41" s="4" t="str">
        <f t="shared" si="4"/>
        <v>53706.5924</v>
      </c>
      <c r="H41" s="3">
        <f t="shared" si="5"/>
        <v>870</v>
      </c>
      <c r="I41" s="24" t="s">
        <v>177</v>
      </c>
      <c r="J41" s="25" t="s">
        <v>178</v>
      </c>
      <c r="K41" s="24" t="s">
        <v>179</v>
      </c>
      <c r="L41" s="24" t="s">
        <v>180</v>
      </c>
      <c r="M41" s="25" t="s">
        <v>173</v>
      </c>
      <c r="N41" s="25" t="s">
        <v>181</v>
      </c>
      <c r="O41" s="26" t="s">
        <v>182</v>
      </c>
      <c r="P41" s="27" t="s">
        <v>183</v>
      </c>
    </row>
    <row r="42" spans="1:16" ht="12.75" customHeight="1" thickBot="1" x14ac:dyDescent="0.25">
      <c r="A42" s="3" t="str">
        <f t="shared" si="0"/>
        <v>OEJV 0160 </v>
      </c>
      <c r="B42" s="2" t="str">
        <f t="shared" si="1"/>
        <v>I</v>
      </c>
      <c r="C42" s="3">
        <f t="shared" si="2"/>
        <v>55856.462789999998</v>
      </c>
      <c r="D42" s="4" t="str">
        <f t="shared" si="3"/>
        <v>vis</v>
      </c>
      <c r="E42" s="23">
        <f>VLOOKUP(C42,Active!C$21:E$973,3,FALSE)</f>
        <v>1551.9906652048755</v>
      </c>
      <c r="F42" s="2" t="s">
        <v>55</v>
      </c>
      <c r="G42" s="4" t="str">
        <f t="shared" si="4"/>
        <v>55856.46279</v>
      </c>
      <c r="H42" s="3">
        <f t="shared" si="5"/>
        <v>2422</v>
      </c>
      <c r="I42" s="24" t="s">
        <v>184</v>
      </c>
      <c r="J42" s="25" t="s">
        <v>185</v>
      </c>
      <c r="K42" s="24" t="s">
        <v>186</v>
      </c>
      <c r="L42" s="24" t="s">
        <v>187</v>
      </c>
      <c r="M42" s="25" t="s">
        <v>173</v>
      </c>
      <c r="N42" s="25" t="s">
        <v>188</v>
      </c>
      <c r="O42" s="26" t="s">
        <v>189</v>
      </c>
      <c r="P42" s="27" t="s">
        <v>190</v>
      </c>
    </row>
    <row r="43" spans="1:16" ht="12.75" customHeight="1" thickBot="1" x14ac:dyDescent="0.25">
      <c r="A43" s="3" t="str">
        <f t="shared" si="0"/>
        <v> PASP 107.653 </v>
      </c>
      <c r="B43" s="2" t="str">
        <f t="shared" si="1"/>
        <v>I</v>
      </c>
      <c r="C43" s="3">
        <f t="shared" si="2"/>
        <v>16823.726999999999</v>
      </c>
      <c r="D43" s="4" t="str">
        <f t="shared" si="3"/>
        <v>vis</v>
      </c>
      <c r="E43" s="23">
        <f>VLOOKUP(C43,Active!C$21:E$973,3,FALSE)</f>
        <v>-26625.742386448394</v>
      </c>
      <c r="F43" s="2" t="s">
        <v>55</v>
      </c>
      <c r="G43" s="4" t="str">
        <f t="shared" si="4"/>
        <v>16823.727</v>
      </c>
      <c r="H43" s="3">
        <f t="shared" si="5"/>
        <v>-25756</v>
      </c>
      <c r="I43" s="24" t="s">
        <v>69</v>
      </c>
      <c r="J43" s="25" t="s">
        <v>70</v>
      </c>
      <c r="K43" s="24">
        <v>-25756</v>
      </c>
      <c r="L43" s="24" t="s">
        <v>71</v>
      </c>
      <c r="M43" s="25" t="s">
        <v>60</v>
      </c>
      <c r="N43" s="25"/>
      <c r="O43" s="26" t="s">
        <v>61</v>
      </c>
      <c r="P43" s="26" t="s">
        <v>62</v>
      </c>
    </row>
    <row r="44" spans="1:16" ht="12.75" customHeight="1" thickBot="1" x14ac:dyDescent="0.25">
      <c r="A44" s="3" t="str">
        <f t="shared" si="0"/>
        <v> PASP 107.653 </v>
      </c>
      <c r="B44" s="2" t="str">
        <f t="shared" si="1"/>
        <v>I</v>
      </c>
      <c r="C44" s="3">
        <f t="shared" si="2"/>
        <v>17977.598999999998</v>
      </c>
      <c r="D44" s="4" t="str">
        <f t="shared" si="3"/>
        <v>vis</v>
      </c>
      <c r="E44" s="23">
        <f>VLOOKUP(C44,Active!C$21:E$973,3,FALSE)</f>
        <v>-25792.762157578367</v>
      </c>
      <c r="F44" s="2" t="s">
        <v>55</v>
      </c>
      <c r="G44" s="4" t="str">
        <f t="shared" si="4"/>
        <v>17977.599</v>
      </c>
      <c r="H44" s="3">
        <f t="shared" si="5"/>
        <v>-24923</v>
      </c>
      <c r="I44" s="24" t="s">
        <v>75</v>
      </c>
      <c r="J44" s="25" t="s">
        <v>76</v>
      </c>
      <c r="K44" s="24">
        <v>-24923</v>
      </c>
      <c r="L44" s="24" t="s">
        <v>77</v>
      </c>
      <c r="M44" s="25" t="s">
        <v>60</v>
      </c>
      <c r="N44" s="25"/>
      <c r="O44" s="26" t="s">
        <v>61</v>
      </c>
      <c r="P44" s="26" t="s">
        <v>62</v>
      </c>
    </row>
    <row r="45" spans="1:16" ht="12.75" customHeight="1" thickBot="1" x14ac:dyDescent="0.25">
      <c r="A45" s="3" t="str">
        <f t="shared" si="0"/>
        <v> PASP 107.653 </v>
      </c>
      <c r="B45" s="2" t="str">
        <f t="shared" si="1"/>
        <v>I</v>
      </c>
      <c r="C45" s="3">
        <f t="shared" si="2"/>
        <v>20092.79</v>
      </c>
      <c r="D45" s="4" t="str">
        <f t="shared" si="3"/>
        <v>vis</v>
      </c>
      <c r="E45" s="23">
        <f>VLOOKUP(C45,Active!C$21:E$973,3,FALSE)</f>
        <v>-24265.80571589003</v>
      </c>
      <c r="F45" s="2" t="s">
        <v>55</v>
      </c>
      <c r="G45" s="4" t="str">
        <f t="shared" si="4"/>
        <v>20092.790</v>
      </c>
      <c r="H45" s="3">
        <f t="shared" si="5"/>
        <v>-23396</v>
      </c>
      <c r="I45" s="24" t="s">
        <v>95</v>
      </c>
      <c r="J45" s="25" t="s">
        <v>96</v>
      </c>
      <c r="K45" s="24">
        <v>-23396</v>
      </c>
      <c r="L45" s="24" t="s">
        <v>97</v>
      </c>
      <c r="M45" s="25" t="s">
        <v>60</v>
      </c>
      <c r="N45" s="25"/>
      <c r="O45" s="26" t="s">
        <v>61</v>
      </c>
      <c r="P45" s="26" t="s">
        <v>62</v>
      </c>
    </row>
    <row r="46" spans="1:16" ht="12.75" customHeight="1" thickBot="1" x14ac:dyDescent="0.25">
      <c r="A46" s="3" t="str">
        <f t="shared" si="0"/>
        <v>IBVS 3481 </v>
      </c>
      <c r="B46" s="2" t="str">
        <f t="shared" si="1"/>
        <v>I</v>
      </c>
      <c r="C46" s="3">
        <f t="shared" si="2"/>
        <v>47151.652000000002</v>
      </c>
      <c r="D46" s="4" t="str">
        <f t="shared" si="3"/>
        <v>vis</v>
      </c>
      <c r="E46" s="23">
        <f>VLOOKUP(C46,Active!C$21:E$973,3,FALSE)</f>
        <v>-4732.0124860323713</v>
      </c>
      <c r="F46" s="2" t="s">
        <v>55</v>
      </c>
      <c r="G46" s="4" t="str">
        <f t="shared" si="4"/>
        <v>47151.652</v>
      </c>
      <c r="H46" s="3">
        <f t="shared" si="5"/>
        <v>-3862</v>
      </c>
      <c r="I46" s="24" t="s">
        <v>145</v>
      </c>
      <c r="J46" s="25" t="s">
        <v>146</v>
      </c>
      <c r="K46" s="24">
        <v>-3862</v>
      </c>
      <c r="L46" s="24" t="s">
        <v>147</v>
      </c>
      <c r="M46" s="25" t="s">
        <v>60</v>
      </c>
      <c r="N46" s="25"/>
      <c r="O46" s="26" t="s">
        <v>148</v>
      </c>
      <c r="P46" s="27" t="s">
        <v>149</v>
      </c>
    </row>
    <row r="47" spans="1:16" ht="12.75" customHeight="1" thickBot="1" x14ac:dyDescent="0.25">
      <c r="A47" s="3" t="str">
        <f t="shared" si="0"/>
        <v>IBVS 3481 </v>
      </c>
      <c r="B47" s="2" t="str">
        <f t="shared" si="1"/>
        <v>I</v>
      </c>
      <c r="C47" s="3">
        <f t="shared" si="2"/>
        <v>47942.654999999999</v>
      </c>
      <c r="D47" s="4" t="str">
        <f t="shared" si="3"/>
        <v>vis</v>
      </c>
      <c r="E47" s="23">
        <f>VLOOKUP(C47,Active!C$21:E$973,3,FALSE)</f>
        <v>-4160.9873983477146</v>
      </c>
      <c r="F47" s="2" t="s">
        <v>55</v>
      </c>
      <c r="G47" s="4" t="str">
        <f t="shared" si="4"/>
        <v>47942.655</v>
      </c>
      <c r="H47" s="3">
        <f t="shared" si="5"/>
        <v>-3291</v>
      </c>
      <c r="I47" s="24" t="s">
        <v>153</v>
      </c>
      <c r="J47" s="25" t="s">
        <v>154</v>
      </c>
      <c r="K47" s="24">
        <v>-3291</v>
      </c>
      <c r="L47" s="24" t="s">
        <v>155</v>
      </c>
      <c r="M47" s="25" t="s">
        <v>156</v>
      </c>
      <c r="N47" s="25" t="s">
        <v>157</v>
      </c>
      <c r="O47" s="26" t="s">
        <v>158</v>
      </c>
      <c r="P47" s="27" t="s">
        <v>149</v>
      </c>
    </row>
    <row r="48" spans="1:16" ht="12.75" customHeight="1" thickBot="1" x14ac:dyDescent="0.25">
      <c r="A48" s="3" t="str">
        <f t="shared" si="0"/>
        <v> BBS 100 </v>
      </c>
      <c r="B48" s="2" t="str">
        <f t="shared" si="1"/>
        <v>I</v>
      </c>
      <c r="C48" s="3">
        <f t="shared" si="2"/>
        <v>48628.339500000002</v>
      </c>
      <c r="D48" s="4" t="str">
        <f t="shared" si="3"/>
        <v>vis</v>
      </c>
      <c r="E48" s="23">
        <f>VLOOKUP(C48,Active!C$21:E$973,3,FALSE)</f>
        <v>-3665.991738740212</v>
      </c>
      <c r="F48" s="2" t="s">
        <v>55</v>
      </c>
      <c r="G48" s="4" t="str">
        <f t="shared" si="4"/>
        <v>48628.3395</v>
      </c>
      <c r="H48" s="3">
        <f t="shared" si="5"/>
        <v>-2796</v>
      </c>
      <c r="I48" s="24" t="s">
        <v>159</v>
      </c>
      <c r="J48" s="25" t="s">
        <v>160</v>
      </c>
      <c r="K48" s="24">
        <v>-2796</v>
      </c>
      <c r="L48" s="24" t="s">
        <v>161</v>
      </c>
      <c r="M48" s="25" t="s">
        <v>156</v>
      </c>
      <c r="N48" s="25" t="s">
        <v>157</v>
      </c>
      <c r="O48" s="26" t="s">
        <v>162</v>
      </c>
      <c r="P48" s="26" t="s">
        <v>163</v>
      </c>
    </row>
    <row r="49" spans="2:6" x14ac:dyDescent="0.2">
      <c r="B49" s="2"/>
      <c r="E49" s="23"/>
      <c r="F49" s="2"/>
    </row>
    <row r="50" spans="2:6" x14ac:dyDescent="0.2">
      <c r="B50" s="2"/>
      <c r="E50" s="23"/>
      <c r="F50" s="2"/>
    </row>
    <row r="51" spans="2:6" x14ac:dyDescent="0.2">
      <c r="B51" s="2"/>
      <c r="E51" s="23"/>
      <c r="F51" s="2"/>
    </row>
    <row r="52" spans="2:6" x14ac:dyDescent="0.2">
      <c r="B52" s="2"/>
      <c r="E52" s="23"/>
      <c r="F52" s="2"/>
    </row>
    <row r="53" spans="2:6" x14ac:dyDescent="0.2">
      <c r="B53" s="2"/>
      <c r="E53" s="23"/>
      <c r="F53" s="2"/>
    </row>
    <row r="54" spans="2:6" x14ac:dyDescent="0.2">
      <c r="B54" s="2"/>
      <c r="E54" s="23"/>
      <c r="F54" s="2"/>
    </row>
    <row r="55" spans="2:6" x14ac:dyDescent="0.2">
      <c r="B55" s="2"/>
      <c r="E55" s="23"/>
      <c r="F55" s="2"/>
    </row>
    <row r="56" spans="2:6" x14ac:dyDescent="0.2">
      <c r="B56" s="2"/>
      <c r="E56" s="23"/>
      <c r="F56" s="2"/>
    </row>
    <row r="57" spans="2:6" x14ac:dyDescent="0.2">
      <c r="B57" s="2"/>
      <c r="E57" s="23"/>
      <c r="F57" s="2"/>
    </row>
    <row r="58" spans="2:6" x14ac:dyDescent="0.2">
      <c r="B58" s="2"/>
      <c r="E58" s="23"/>
      <c r="F58" s="2"/>
    </row>
    <row r="59" spans="2:6" x14ac:dyDescent="0.2">
      <c r="B59" s="2"/>
      <c r="E59" s="23"/>
      <c r="F59" s="2"/>
    </row>
    <row r="60" spans="2:6" x14ac:dyDescent="0.2">
      <c r="B60" s="2"/>
      <c r="E60" s="23"/>
      <c r="F60" s="2"/>
    </row>
    <row r="61" spans="2:6" x14ac:dyDescent="0.2">
      <c r="B61" s="2"/>
      <c r="E61" s="23"/>
      <c r="F61" s="2"/>
    </row>
    <row r="62" spans="2:6" x14ac:dyDescent="0.2">
      <c r="B62" s="2"/>
      <c r="E62" s="23"/>
      <c r="F62" s="2"/>
    </row>
    <row r="63" spans="2:6" x14ac:dyDescent="0.2">
      <c r="B63" s="2"/>
      <c r="E63" s="23"/>
      <c r="F63" s="2"/>
    </row>
    <row r="64" spans="2:6" x14ac:dyDescent="0.2">
      <c r="B64" s="2"/>
      <c r="E64" s="23"/>
      <c r="F64" s="2"/>
    </row>
    <row r="65" spans="2:6" x14ac:dyDescent="0.2">
      <c r="B65" s="2"/>
      <c r="E65" s="23"/>
      <c r="F65" s="2"/>
    </row>
    <row r="66" spans="2:6" x14ac:dyDescent="0.2">
      <c r="B66" s="2"/>
      <c r="E66" s="23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</sheetData>
  <phoneticPr fontId="7" type="noConversion"/>
  <hyperlinks>
    <hyperlink ref="P46" r:id="rId1" display="http://www.konkoly.hu/cgi-bin/IBVS?3481"/>
    <hyperlink ref="P47" r:id="rId2" display="http://www.konkoly.hu/cgi-bin/IBVS?3481"/>
    <hyperlink ref="P40" r:id="rId3" display="http://www.konkoly.hu/cgi-bin/IBVS?5843"/>
    <hyperlink ref="P41" r:id="rId4" display="http://www.bav-astro.de/sfs/BAVM_link.php?BAVMnr=178"/>
    <hyperlink ref="P42" r:id="rId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2024-03-07T06:11:30Z</dcterms:modified>
</cp:coreProperties>
</file>