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BB2027D-E5F8-4419-8CEB-DFBE26A00171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G14" i="1" l="1"/>
  <c r="G15" i="1" s="1"/>
  <c r="E38" i="1"/>
  <c r="F38" i="1"/>
  <c r="G38" i="1"/>
  <c r="E39" i="1"/>
  <c r="F39" i="1"/>
  <c r="G39" i="1"/>
  <c r="R39" i="1"/>
  <c r="E40" i="1"/>
  <c r="F40" i="1"/>
  <c r="G40" i="1"/>
  <c r="E41" i="1"/>
  <c r="F41" i="1"/>
  <c r="G41" i="1"/>
  <c r="R41" i="1"/>
  <c r="E43" i="1"/>
  <c r="F43" i="1"/>
  <c r="G43" i="1"/>
  <c r="E45" i="1"/>
  <c r="F45" i="1"/>
  <c r="G45" i="1"/>
  <c r="R45" i="1"/>
  <c r="E46" i="1"/>
  <c r="F46" i="1"/>
  <c r="G46" i="1"/>
  <c r="E32" i="1"/>
  <c r="F32" i="1"/>
  <c r="G32" i="1"/>
  <c r="S32" i="1"/>
  <c r="E42" i="1"/>
  <c r="F42" i="1"/>
  <c r="G42" i="1"/>
  <c r="E44" i="1"/>
  <c r="F44" i="1"/>
  <c r="G44" i="1"/>
  <c r="S44" i="1"/>
  <c r="E47" i="1"/>
  <c r="F47" i="1"/>
  <c r="E48" i="1"/>
  <c r="F48" i="1"/>
  <c r="G48" i="1"/>
  <c r="E49" i="1"/>
  <c r="F49" i="1"/>
  <c r="G49" i="1"/>
  <c r="E52" i="1"/>
  <c r="F52" i="1"/>
  <c r="G52" i="1"/>
  <c r="E56" i="1"/>
  <c r="F56" i="1"/>
  <c r="G56" i="1"/>
  <c r="E23" i="1"/>
  <c r="F23" i="1"/>
  <c r="G23" i="1"/>
  <c r="E25" i="1"/>
  <c r="F25" i="1"/>
  <c r="G25" i="1"/>
  <c r="E26" i="1"/>
  <c r="F26" i="1"/>
  <c r="G26" i="1"/>
  <c r="E28" i="1"/>
  <c r="F28" i="1"/>
  <c r="G28" i="1"/>
  <c r="E29" i="1"/>
  <c r="F29" i="1"/>
  <c r="G29" i="1"/>
  <c r="E30" i="1"/>
  <c r="F30" i="1"/>
  <c r="G30" i="1"/>
  <c r="E31" i="1"/>
  <c r="F31" i="1"/>
  <c r="G31" i="1"/>
  <c r="E37" i="1"/>
  <c r="F37" i="1"/>
  <c r="G37" i="1"/>
  <c r="E50" i="1"/>
  <c r="F50" i="1"/>
  <c r="G50" i="1"/>
  <c r="E51" i="1"/>
  <c r="F51" i="1"/>
  <c r="G51" i="1"/>
  <c r="E53" i="1"/>
  <c r="F53" i="1"/>
  <c r="G53" i="1"/>
  <c r="E54" i="1"/>
  <c r="F54" i="1"/>
  <c r="G54" i="1"/>
  <c r="S54" i="1"/>
  <c r="E22" i="1"/>
  <c r="F22" i="1"/>
  <c r="G22" i="1"/>
  <c r="E24" i="1"/>
  <c r="F24" i="1"/>
  <c r="G24" i="1"/>
  <c r="E27" i="1"/>
  <c r="F27" i="1"/>
  <c r="G27" i="1"/>
  <c r="E34" i="1"/>
  <c r="F34" i="1"/>
  <c r="E35" i="1"/>
  <c r="F35" i="1"/>
  <c r="G35" i="1"/>
  <c r="E36" i="1"/>
  <c r="F36" i="1"/>
  <c r="G36" i="1"/>
  <c r="E55" i="1"/>
  <c r="F55" i="1"/>
  <c r="G55" i="1"/>
  <c r="E21" i="1"/>
  <c r="F21" i="1"/>
  <c r="G21" i="1"/>
  <c r="H21" i="1"/>
  <c r="E33" i="1"/>
  <c r="F33" i="1"/>
  <c r="G33" i="1"/>
  <c r="S33" i="1"/>
  <c r="G34" i="1"/>
  <c r="S34" i="1"/>
  <c r="Q38" i="1"/>
  <c r="Q39" i="1"/>
  <c r="Q40" i="1"/>
  <c r="Q41" i="1"/>
  <c r="Q43" i="1"/>
  <c r="Q45" i="1"/>
  <c r="Q46" i="1"/>
  <c r="Q32" i="1"/>
  <c r="Q42" i="1"/>
  <c r="Q44" i="1"/>
  <c r="G28" i="2"/>
  <c r="C28" i="2"/>
  <c r="G27" i="2"/>
  <c r="C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38" i="2"/>
  <c r="C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G31" i="2"/>
  <c r="C31" i="2"/>
  <c r="E31" i="2"/>
  <c r="G30" i="2"/>
  <c r="C30" i="2"/>
  <c r="E30" i="2"/>
  <c r="G18" i="2"/>
  <c r="C18" i="2"/>
  <c r="G17" i="2"/>
  <c r="C17" i="2"/>
  <c r="E17" i="2"/>
  <c r="G29" i="2"/>
  <c r="C29" i="2"/>
  <c r="E29" i="2"/>
  <c r="G16" i="2"/>
  <c r="C16" i="2"/>
  <c r="E16" i="2"/>
  <c r="G15" i="2"/>
  <c r="C15" i="2"/>
  <c r="G14" i="2"/>
  <c r="C14" i="2"/>
  <c r="E14" i="2"/>
  <c r="G13" i="2"/>
  <c r="C13" i="2"/>
  <c r="E13" i="2"/>
  <c r="G12" i="2"/>
  <c r="C12" i="2"/>
  <c r="E12" i="2"/>
  <c r="G11" i="2"/>
  <c r="C11" i="2"/>
  <c r="E11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18" i="2"/>
  <c r="B18" i="2"/>
  <c r="D18" i="2"/>
  <c r="A18" i="2"/>
  <c r="H17" i="2"/>
  <c r="D17" i="2"/>
  <c r="B17" i="2"/>
  <c r="A17" i="2"/>
  <c r="H29" i="2"/>
  <c r="B29" i="2"/>
  <c r="D29" i="2"/>
  <c r="A29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56" i="1"/>
  <c r="Q55" i="1"/>
  <c r="Q22" i="1"/>
  <c r="Q24" i="1"/>
  <c r="Q27" i="1"/>
  <c r="Q49" i="1"/>
  <c r="Q47" i="1"/>
  <c r="Q48" i="1"/>
  <c r="Q50" i="1"/>
  <c r="Q51" i="1"/>
  <c r="Q52" i="1"/>
  <c r="Q53" i="1"/>
  <c r="Q54" i="1"/>
  <c r="Q37" i="1"/>
  <c r="C17" i="1"/>
  <c r="Q36" i="1"/>
  <c r="Q34" i="1"/>
  <c r="Q35" i="1"/>
  <c r="Q33" i="1"/>
  <c r="Q21" i="1"/>
  <c r="Q23" i="1"/>
  <c r="Q25" i="1"/>
  <c r="Q26" i="1"/>
  <c r="Q28" i="1"/>
  <c r="Q29" i="1"/>
  <c r="Q30" i="1"/>
  <c r="Q31" i="1"/>
  <c r="R52" i="1"/>
  <c r="K52" i="1"/>
  <c r="R29" i="1"/>
  <c r="I29" i="1"/>
  <c r="R26" i="1"/>
  <c r="I26" i="1"/>
  <c r="R48" i="1"/>
  <c r="K48" i="1"/>
  <c r="R31" i="1"/>
  <c r="I31" i="1"/>
  <c r="R23" i="1"/>
  <c r="I23" i="1"/>
  <c r="E32" i="2"/>
  <c r="K34" i="1"/>
  <c r="E27" i="2"/>
  <c r="E15" i="2"/>
  <c r="E38" i="2"/>
  <c r="E28" i="2"/>
  <c r="E18" i="2"/>
  <c r="I27" i="1"/>
  <c r="S27" i="1"/>
  <c r="K50" i="1"/>
  <c r="S50" i="1"/>
  <c r="S24" i="1"/>
  <c r="I24" i="1"/>
  <c r="S51" i="1"/>
  <c r="D12" i="1"/>
  <c r="D16" i="1"/>
  <c r="D19" i="1"/>
  <c r="K51" i="1"/>
  <c r="K55" i="1"/>
  <c r="S55" i="1"/>
  <c r="I22" i="1"/>
  <c r="S22" i="1"/>
  <c r="R37" i="1"/>
  <c r="K37" i="1"/>
  <c r="R28" i="1"/>
  <c r="J28" i="1"/>
  <c r="R56" i="1"/>
  <c r="K56" i="1"/>
  <c r="G47" i="1"/>
  <c r="K46" i="1"/>
  <c r="R46" i="1"/>
  <c r="K40" i="1"/>
  <c r="R40" i="1"/>
  <c r="S36" i="1"/>
  <c r="K36" i="1"/>
  <c r="S35" i="1"/>
  <c r="K35" i="1"/>
  <c r="K53" i="1"/>
  <c r="S53" i="1"/>
  <c r="I30" i="1"/>
  <c r="R30" i="1"/>
  <c r="R25" i="1"/>
  <c r="I25" i="1"/>
  <c r="R49" i="1"/>
  <c r="K49" i="1"/>
  <c r="K42" i="1"/>
  <c r="S42" i="1"/>
  <c r="K43" i="1"/>
  <c r="R43" i="1"/>
  <c r="K38" i="1"/>
  <c r="R38" i="1"/>
  <c r="K44" i="1"/>
  <c r="I32" i="1"/>
  <c r="K45" i="1"/>
  <c r="K41" i="1"/>
  <c r="K39" i="1"/>
  <c r="K33" i="1"/>
  <c r="K54" i="1"/>
  <c r="D11" i="1"/>
  <c r="K47" i="1"/>
  <c r="R47" i="1"/>
  <c r="S19" i="1"/>
  <c r="E19" i="1"/>
  <c r="P31" i="1"/>
  <c r="P37" i="1"/>
  <c r="P23" i="1"/>
  <c r="P38" i="1"/>
  <c r="P40" i="1"/>
  <c r="P43" i="1"/>
  <c r="P46" i="1"/>
  <c r="P42" i="1"/>
  <c r="P55" i="1"/>
  <c r="P22" i="1"/>
  <c r="P27" i="1"/>
  <c r="P47" i="1"/>
  <c r="P50" i="1"/>
  <c r="P52" i="1"/>
  <c r="P54" i="1"/>
  <c r="P25" i="1"/>
  <c r="P35" i="1"/>
  <c r="P26" i="1"/>
  <c r="P36" i="1"/>
  <c r="P29" i="1"/>
  <c r="P44" i="1"/>
  <c r="P24" i="1"/>
  <c r="D15" i="1"/>
  <c r="C19" i="1"/>
  <c r="P28" i="1"/>
  <c r="P21" i="1"/>
  <c r="P39" i="1"/>
  <c r="P41" i="1"/>
  <c r="P45" i="1"/>
  <c r="P32" i="1"/>
  <c r="P56" i="1"/>
  <c r="P49" i="1"/>
  <c r="P48" i="1"/>
  <c r="P51" i="1"/>
  <c r="P53" i="1"/>
  <c r="P30" i="1"/>
  <c r="P33" i="1"/>
  <c r="P34" i="1"/>
  <c r="C12" i="1"/>
  <c r="C16" i="1"/>
  <c r="D18" i="1"/>
  <c r="R19" i="1"/>
  <c r="E18" i="1"/>
  <c r="C11" i="1"/>
  <c r="O38" i="1"/>
  <c r="O37" i="1"/>
  <c r="O27" i="1"/>
  <c r="O54" i="1"/>
  <c r="O33" i="1"/>
  <c r="O28" i="1"/>
  <c r="O56" i="1"/>
  <c r="O22" i="1"/>
  <c r="O36" i="1"/>
  <c r="O24" i="1"/>
  <c r="C15" i="1"/>
  <c r="O25" i="1"/>
  <c r="O26" i="1"/>
  <c r="O40" i="1"/>
  <c r="O52" i="1"/>
  <c r="O23" i="1"/>
  <c r="O29" i="1"/>
  <c r="O39" i="1"/>
  <c r="O41" i="1"/>
  <c r="O45" i="1"/>
  <c r="O32" i="1"/>
  <c r="O44" i="1"/>
  <c r="O49" i="1"/>
  <c r="O48" i="1"/>
  <c r="O51" i="1"/>
  <c r="O53" i="1"/>
  <c r="O21" i="1"/>
  <c r="O34" i="1"/>
  <c r="O30" i="1"/>
  <c r="O35" i="1"/>
  <c r="O31" i="1"/>
  <c r="O43" i="1"/>
  <c r="O46" i="1"/>
  <c r="O42" i="1"/>
  <c r="O55" i="1"/>
  <c r="O47" i="1"/>
  <c r="O50" i="1"/>
  <c r="C18" i="1"/>
  <c r="G16" i="1" l="1"/>
  <c r="G17" i="1" s="1"/>
</calcChain>
</file>

<file path=xl/sharedStrings.xml><?xml version="1.0" encoding="utf-8"?>
<sst xmlns="http://schemas.openxmlformats.org/spreadsheetml/2006/main" count="353" uniqueCount="178">
  <si>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</si>
  <si>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</si>
  <si>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</si>
  <si>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</si>
  <si>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</si>
  <si>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</si>
  <si>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</si>
  <si>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</si>
  <si>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</si>
  <si>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</si>
  <si>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</si>
  <si>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</si>
  <si>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</si>
  <si>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</si>
  <si>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</si>
  <si>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</si>
  <si>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</si>
  <si>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Sum diff² =</t>
  </si>
  <si>
    <t>System Type:</t>
  </si>
  <si>
    <t>S4</t>
  </si>
  <si>
    <t>S5</t>
  </si>
  <si>
    <t>S6</t>
  </si>
  <si>
    <t>IBVS 5357</t>
  </si>
  <si>
    <t>IBVS 4544</t>
  </si>
  <si>
    <t>See IBVS 4544</t>
  </si>
  <si>
    <t>Eccentric orbit</t>
  </si>
  <si>
    <t>Sp:  G0</t>
  </si>
  <si>
    <t>EA</t>
  </si>
  <si>
    <t>Kaiser discovery ptg</t>
  </si>
  <si>
    <t>Baldwin visual</t>
  </si>
  <si>
    <t>Terrell PEP</t>
  </si>
  <si>
    <t>Kaiser PEP</t>
  </si>
  <si>
    <t>Frey PEP</t>
  </si>
  <si>
    <t>Kaiser CCD</t>
  </si>
  <si>
    <t>II</t>
  </si>
  <si>
    <t>IBVS 5487</t>
  </si>
  <si>
    <t>IBVS</t>
  </si>
  <si>
    <t>Primary</t>
  </si>
  <si>
    <t>Secondary</t>
  </si>
  <si>
    <t>IBVS 5643</t>
  </si>
  <si>
    <t>Pri. Fit</t>
  </si>
  <si>
    <t>Sec. Fit</t>
  </si>
  <si>
    <t>Count</t>
  </si>
  <si>
    <t>Prim. Ephemeris =</t>
  </si>
  <si>
    <t>Sec. Ephemeris =</t>
  </si>
  <si>
    <t>V1094 Tau / GSC 01263-00642</t>
  </si>
  <si>
    <t>IBVS 5657</t>
  </si>
  <si>
    <t>IBVS 4168</t>
  </si>
  <si>
    <t>vis</t>
  </si>
  <si>
    <t>IBVS 6011</t>
  </si>
  <si>
    <t>I</t>
  </si>
  <si>
    <t>IBVS 6014</t>
  </si>
  <si>
    <t>IBVS 6029</t>
  </si>
  <si>
    <t>IBVS 6070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</si>
  <si>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</si>
  <si>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</si>
  <si>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</si>
  <si>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</si>
  <si>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</si>
  <si>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</si>
  <si>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</si>
  <si>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</si>
  <si>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</si>
  <si>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</si>
  <si>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</si>
  <si>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</si>
  <si>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2449602.846 </t>
  </si>
  <si>
    <t> 07.09.1994 08:18 </t>
  </si>
  <si>
    <t> 0.015 </t>
  </si>
  <si>
    <t> D.Kaiser </t>
  </si>
  <si>
    <t>IBVS 4168 </t>
  </si>
  <si>
    <t>2449653.632 </t>
  </si>
  <si>
    <t> 28.10.1994 03:10 </t>
  </si>
  <si>
    <t>V </t>
  </si>
  <si>
    <t> M.Baldwin </t>
  </si>
  <si>
    <t>2449680.597 </t>
  </si>
  <si>
    <t> 24.11.1994 02:19 </t>
  </si>
  <si>
    <t> -0.004 </t>
  </si>
  <si>
    <t>2449701.7061 </t>
  </si>
  <si>
    <t> 15.12.1994 04:56 </t>
  </si>
  <si>
    <t> 0.0009 </t>
  </si>
  <si>
    <t>E </t>
  </si>
  <si>
    <t>?</t>
  </si>
  <si>
    <t> D.Terrell </t>
  </si>
  <si>
    <t>2449707.5649 </t>
  </si>
  <si>
    <t> 21.12.1994 01:33 </t>
  </si>
  <si>
    <t> -0.0017 </t>
  </si>
  <si>
    <t>2449755.6355 </t>
  </si>
  <si>
    <t> 07.02.1995 03:15 </t>
  </si>
  <si>
    <t> -0.0009 </t>
  </si>
  <si>
    <t>2452601.8776 </t>
  </si>
  <si>
    <t> 23.11.2002 09:03 </t>
  </si>
  <si>
    <t> 0.0005 </t>
  </si>
  <si>
    <t>G</t>
  </si>
  <si>
    <t> C.Lacy </t>
  </si>
  <si>
    <t>IBVS 5357 </t>
  </si>
  <si>
    <t>2452997.3708 </t>
  </si>
  <si>
    <t> 23.12.2003 20:53 </t>
  </si>
  <si>
    <t> -0.0022 </t>
  </si>
  <si>
    <t>o</t>
  </si>
  <si>
    <t> H.Jungbluth </t>
  </si>
  <si>
    <t>BAVM 172 </t>
  </si>
  <si>
    <t>2453045.4406 </t>
  </si>
  <si>
    <t> 09.02.2004 22:34 </t>
  </si>
  <si>
    <t> H.Achterberg </t>
  </si>
  <si>
    <t>BAVM 173 </t>
  </si>
  <si>
    <t>2454438.6645 </t>
  </si>
  <si>
    <t> 04.12.2007 03:56 </t>
  </si>
  <si>
    <t> -0.0023 </t>
  </si>
  <si>
    <t>C </t>
  </si>
  <si>
    <t>IBVS 5910 </t>
  </si>
  <si>
    <t>2454447.6544 </t>
  </si>
  <si>
    <t> 13.12.2007 03:42 </t>
  </si>
  <si>
    <t> -0.0010 </t>
  </si>
  <si>
    <t>2455157.7494 </t>
  </si>
  <si>
    <t> 22.11.2009 05:59 </t>
  </si>
  <si>
    <t> -0.0008 </t>
  </si>
  <si>
    <t>IBVS 5972 </t>
  </si>
  <si>
    <t>2455175.7281 </t>
  </si>
  <si>
    <t> 10.12.2009 05:28 </t>
  </si>
  <si>
    <t> 0.0008 </t>
  </si>
  <si>
    <t>2455181.5904 </t>
  </si>
  <si>
    <t> 16.12.2009 02:10 </t>
  </si>
  <si>
    <t> 0.0017 </t>
  </si>
  <si>
    <t>2455202.6903 </t>
  </si>
  <si>
    <t> 06.01.2010 04:34 </t>
  </si>
  <si>
    <t> -0.0026 </t>
  </si>
  <si>
    <t>2455208.5573 </t>
  </si>
  <si>
    <t> 12.01.2010 01:22 </t>
  </si>
  <si>
    <t> 0.0030 </t>
  </si>
  <si>
    <t>2455247.6367 </t>
  </si>
  <si>
    <t> 20.02.2010 03:16 </t>
  </si>
  <si>
    <t> 0.0011 </t>
  </si>
  <si>
    <t>2455274.6011 </t>
  </si>
  <si>
    <t> 19.03.2010 02:25 </t>
  </si>
  <si>
    <t> -0.0001 </t>
  </si>
  <si>
    <t>2455813.9147 </t>
  </si>
  <si>
    <t> 09.09.2011 09:57 </t>
  </si>
  <si>
    <t>IBVS 6014 </t>
  </si>
  <si>
    <t>2455831.8918 </t>
  </si>
  <si>
    <t> 27.09.2011 09:24 </t>
  </si>
  <si>
    <t> 0.0010 </t>
  </si>
  <si>
    <t>2455849.8700 </t>
  </si>
  <si>
    <t> 15.10.2011 08:52 </t>
  </si>
  <si>
    <t> 0.0021 </t>
  </si>
  <si>
    <t> R.Diethelm </t>
  </si>
  <si>
    <t>IBVS 6011 </t>
  </si>
  <si>
    <t>2455855.7330 </t>
  </si>
  <si>
    <t> 21.10.2011 05:35 </t>
  </si>
  <si>
    <t> 0.0036 </t>
  </si>
  <si>
    <t>2455882.6987 </t>
  </si>
  <si>
    <t> 17.11.2011 04:46 </t>
  </si>
  <si>
    <t> 0.0037 </t>
  </si>
  <si>
    <t>2455894.8107 </t>
  </si>
  <si>
    <t> 29.11.2011 07:27 </t>
  </si>
  <si>
    <t> 0.0001 </t>
  </si>
  <si>
    <t>2455936.6296 </t>
  </si>
  <si>
    <t> 10.01.2012 03:06 </t>
  </si>
  <si>
    <t> 0.0034 </t>
  </si>
  <si>
    <t>2455945.6179 </t>
  </si>
  <si>
    <t> 19.01.2012 02:49 </t>
  </si>
  <si>
    <t> 0.0031 </t>
  </si>
  <si>
    <t>2455945.6205 </t>
  </si>
  <si>
    <t> 19.01.2012 02:53 </t>
  </si>
  <si>
    <t> 0.0057 </t>
  </si>
  <si>
    <t>IBVS 6029 </t>
  </si>
  <si>
    <t>2456272.3318 </t>
  </si>
  <si>
    <t> 10.12.2012 19:57 </t>
  </si>
  <si>
    <t> 0.0024 </t>
  </si>
  <si>
    <t> L.Pagel </t>
  </si>
  <si>
    <t>BAVM 231 </t>
  </si>
  <si>
    <t>Add cycle</t>
  </si>
  <si>
    <t>JD today</t>
  </si>
  <si>
    <t>Old Cycle</t>
  </si>
  <si>
    <t>New Cycle</t>
  </si>
  <si>
    <t>Next ToM</t>
  </si>
  <si>
    <t>Local time</t>
  </si>
  <si>
    <t>My time zone &gt;&gt;&gt;&gt;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</si>
</sst>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1" applyNumberFormat="0" applyFont="0" applyFill="0" applyAlignment="0" applyProtection="0"/>
  </cellStyleXfs>
  <cellXfs count="6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14" fillId="0" borderId="0" xfId="7" applyAlignment="1" applyProtection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0" xfId="0" quotePrefix="1">
      <alignment vertical="top"/>
    </xf>
    <xf numFmtId="0" fontId="5" fillId="2" borderId="15" xfId="0" applyFont="1" applyFill="1" applyBorder="1" applyAlignment="1">
      <alignment horizontal="left" vertical="top" wrapText="1" indent="1"/>
    </xf>
    <xf numFmtId="0" fontId="5" fillId="2" borderId="15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right" vertical="top" wrapText="1"/>
    </xf>
    <xf numFmtId="0" fontId="14" fillId="2" borderId="15" xfId="7" applyFill="1" applyBorder="1" applyAlignment="1" applyProtection="1">
      <alignment horizontal="right" vertical="top" wrapText="1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22" fontId="10" fillId="0" borderId="0" xfId="0" applyNumberFormat="1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V1094 Tau -- O-C Diagr.</a:t>
            </a:r>
          </a:p>
        </c:rich>
      </c:tx>
      <c:layout>
        <c:manualLayout>
          <c:xMode val="edge"/>
          <c:yMode val="edge"/>
          <c:x val="0.3134020618556701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2474226804125"/>
          <c:y val="0.14953316519776211"/>
          <c:w val="0.78350515463917525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-11</c:v>
                </c:pt>
                <c:pt idx="1">
                  <c:v>-5.5</c:v>
                </c:pt>
                <c:pt idx="2">
                  <c:v>-5</c:v>
                </c:pt>
                <c:pt idx="3">
                  <c:v>-2.5</c:v>
                </c:pt>
                <c:pt idx="4">
                  <c:v>-2</c:v>
                </c:pt>
                <c:pt idx="5">
                  <c:v>0</c:v>
                </c:pt>
                <c:pt idx="6">
                  <c:v>0.5</c:v>
                </c:pt>
                <c:pt idx="7">
                  <c:v>1</c:v>
                </c:pt>
                <c:pt idx="8">
                  <c:v>6</c:v>
                </c:pt>
                <c:pt idx="9">
                  <c:v>84</c:v>
                </c:pt>
                <c:pt idx="10">
                  <c:v>86</c:v>
                </c:pt>
                <c:pt idx="11">
                  <c:v>322.5</c:v>
                </c:pt>
                <c:pt idx="12">
                  <c:v>322.5</c:v>
                </c:pt>
                <c:pt idx="13">
                  <c:v>325.5</c:v>
                </c:pt>
                <c:pt idx="14">
                  <c:v>326.5</c:v>
                </c:pt>
                <c:pt idx="15">
                  <c:v>366.5</c:v>
                </c:pt>
                <c:pt idx="16">
                  <c:v>372</c:v>
                </c:pt>
                <c:pt idx="17">
                  <c:v>527</c:v>
                </c:pt>
                <c:pt idx="18">
                  <c:v>528</c:v>
                </c:pt>
                <c:pt idx="19">
                  <c:v>607</c:v>
                </c:pt>
                <c:pt idx="20">
                  <c:v>609</c:v>
                </c:pt>
                <c:pt idx="21">
                  <c:v>609.5</c:v>
                </c:pt>
                <c:pt idx="22">
                  <c:v>612</c:v>
                </c:pt>
                <c:pt idx="23">
                  <c:v>612.5</c:v>
                </c:pt>
                <c:pt idx="24">
                  <c:v>617</c:v>
                </c:pt>
                <c:pt idx="25">
                  <c:v>620</c:v>
                </c:pt>
                <c:pt idx="26">
                  <c:v>680</c:v>
                </c:pt>
                <c:pt idx="27">
                  <c:v>682</c:v>
                </c:pt>
                <c:pt idx="28">
                  <c:v>684</c:v>
                </c:pt>
                <c:pt idx="29">
                  <c:v>684.5</c:v>
                </c:pt>
                <c:pt idx="30">
                  <c:v>687.5</c:v>
                </c:pt>
                <c:pt idx="31">
                  <c:v>689</c:v>
                </c:pt>
                <c:pt idx="32">
                  <c:v>693.5</c:v>
                </c:pt>
                <c:pt idx="33">
                  <c:v>694.5</c:v>
                </c:pt>
                <c:pt idx="34">
                  <c:v>694.5</c:v>
                </c:pt>
                <c:pt idx="35">
                  <c:v>731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0">
                  <c:v>1.3456999993650243E-2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3D-41A8-96C9-0A27BE5D651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1'!$D$22:$D$33</c:f>
                <c:numCache>
                  <c:formatCode>General</c:formatCode>
                  <c:ptCount val="12"/>
                  <c:pt idx="0">
                    <c:v>0</c:v>
                  </c:pt>
                  <c:pt idx="2">
                    <c:v>0</c:v>
                  </c:pt>
                  <c:pt idx="5">
                    <c:v>1.8E-3</c:v>
                  </c:pt>
                  <c:pt idx="11">
                    <c:v>1.3999999999999999E-4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-11</c:v>
                </c:pt>
                <c:pt idx="1">
                  <c:v>-5.5</c:v>
                </c:pt>
                <c:pt idx="2">
                  <c:v>-5</c:v>
                </c:pt>
                <c:pt idx="3">
                  <c:v>-2.5</c:v>
                </c:pt>
                <c:pt idx="4">
                  <c:v>-2</c:v>
                </c:pt>
                <c:pt idx="5">
                  <c:v>0</c:v>
                </c:pt>
                <c:pt idx="6">
                  <c:v>0.5</c:v>
                </c:pt>
                <c:pt idx="7">
                  <c:v>1</c:v>
                </c:pt>
                <c:pt idx="8">
                  <c:v>6</c:v>
                </c:pt>
                <c:pt idx="9">
                  <c:v>84</c:v>
                </c:pt>
                <c:pt idx="10">
                  <c:v>86</c:v>
                </c:pt>
                <c:pt idx="11">
                  <c:v>322.5</c:v>
                </c:pt>
                <c:pt idx="12">
                  <c:v>322.5</c:v>
                </c:pt>
                <c:pt idx="13">
                  <c:v>325.5</c:v>
                </c:pt>
                <c:pt idx="14">
                  <c:v>326.5</c:v>
                </c:pt>
                <c:pt idx="15">
                  <c:v>366.5</c:v>
                </c:pt>
                <c:pt idx="16">
                  <c:v>372</c:v>
                </c:pt>
                <c:pt idx="17">
                  <c:v>527</c:v>
                </c:pt>
                <c:pt idx="18">
                  <c:v>528</c:v>
                </c:pt>
                <c:pt idx="19">
                  <c:v>607</c:v>
                </c:pt>
                <c:pt idx="20">
                  <c:v>609</c:v>
                </c:pt>
                <c:pt idx="21">
                  <c:v>609.5</c:v>
                </c:pt>
                <c:pt idx="22">
                  <c:v>612</c:v>
                </c:pt>
                <c:pt idx="23">
                  <c:v>612.5</c:v>
                </c:pt>
                <c:pt idx="24">
                  <c:v>617</c:v>
                </c:pt>
                <c:pt idx="25">
                  <c:v>620</c:v>
                </c:pt>
                <c:pt idx="26">
                  <c:v>680</c:v>
                </c:pt>
                <c:pt idx="27">
                  <c:v>682</c:v>
                </c:pt>
                <c:pt idx="28">
                  <c:v>684</c:v>
                </c:pt>
                <c:pt idx="29">
                  <c:v>684.5</c:v>
                </c:pt>
                <c:pt idx="30">
                  <c:v>687.5</c:v>
                </c:pt>
                <c:pt idx="31">
                  <c:v>689</c:v>
                </c:pt>
                <c:pt idx="32">
                  <c:v>693.5</c:v>
                </c:pt>
                <c:pt idx="33">
                  <c:v>694.5</c:v>
                </c:pt>
                <c:pt idx="34">
                  <c:v>694.5</c:v>
                </c:pt>
                <c:pt idx="35">
                  <c:v>731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1">
                  <c:v>1.3627784999989672</c:v>
                </c:pt>
                <c:pt idx="2">
                  <c:v>-1.4650000011897646E-3</c:v>
                </c:pt>
                <c:pt idx="3">
                  <c:v>1.3623175000029732</c:v>
                </c:pt>
                <c:pt idx="4">
                  <c:v>-1.9260000044596381E-3</c:v>
                </c:pt>
                <c:pt idx="5">
                  <c:v>2.0000000222353265E-4</c:v>
                </c:pt>
                <c:pt idx="6">
                  <c:v>1.3647564999992028</c:v>
                </c:pt>
                <c:pt idx="8">
                  <c:v>-1.3220000037108548E-3</c:v>
                </c:pt>
                <c:pt idx="9">
                  <c:v>4.9199999921256676E-4</c:v>
                </c:pt>
                <c:pt idx="10">
                  <c:v>-1.8199999612988904E-4</c:v>
                </c:pt>
                <c:pt idx="11">
                  <c:v>1.384642500001064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3D-41A8-96C9-0A27BE5D651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1'!$D$21:$D$33</c:f>
                <c:numCache>
                  <c:formatCode>General</c:formatCode>
                  <c:ptCount val="13"/>
                  <c:pt idx="1">
                    <c:v>0</c:v>
                  </c:pt>
                  <c:pt idx="3">
                    <c:v>0</c:v>
                  </c:pt>
                  <c:pt idx="6">
                    <c:v>1.8E-3</c:v>
                  </c:pt>
                  <c:pt idx="12">
                    <c:v>1.3999999999999999E-4</c:v>
                  </c:pt>
                </c:numCache>
              </c:numRef>
            </c:plus>
            <c:minus>
              <c:numRef>
                <c:f>'Active 1'!$D$21:$D$33</c:f>
                <c:numCache>
                  <c:formatCode>General</c:formatCode>
                  <c:ptCount val="13"/>
                  <c:pt idx="1">
                    <c:v>0</c:v>
                  </c:pt>
                  <c:pt idx="3">
                    <c:v>0</c:v>
                  </c:pt>
                  <c:pt idx="6">
                    <c:v>1.8E-3</c:v>
                  </c:pt>
                  <c:pt idx="12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-11</c:v>
                </c:pt>
                <c:pt idx="1">
                  <c:v>-5.5</c:v>
                </c:pt>
                <c:pt idx="2">
                  <c:v>-5</c:v>
                </c:pt>
                <c:pt idx="3">
                  <c:v>-2.5</c:v>
                </c:pt>
                <c:pt idx="4">
                  <c:v>-2</c:v>
                </c:pt>
                <c:pt idx="5">
                  <c:v>0</c:v>
                </c:pt>
                <c:pt idx="6">
                  <c:v>0.5</c:v>
                </c:pt>
                <c:pt idx="7">
                  <c:v>1</c:v>
                </c:pt>
                <c:pt idx="8">
                  <c:v>6</c:v>
                </c:pt>
                <c:pt idx="9">
                  <c:v>84</c:v>
                </c:pt>
                <c:pt idx="10">
                  <c:v>86</c:v>
                </c:pt>
                <c:pt idx="11">
                  <c:v>322.5</c:v>
                </c:pt>
                <c:pt idx="12">
                  <c:v>322.5</c:v>
                </c:pt>
                <c:pt idx="13">
                  <c:v>325.5</c:v>
                </c:pt>
                <c:pt idx="14">
                  <c:v>326.5</c:v>
                </c:pt>
                <c:pt idx="15">
                  <c:v>366.5</c:v>
                </c:pt>
                <c:pt idx="16">
                  <c:v>372</c:v>
                </c:pt>
                <c:pt idx="17">
                  <c:v>527</c:v>
                </c:pt>
                <c:pt idx="18">
                  <c:v>528</c:v>
                </c:pt>
                <c:pt idx="19">
                  <c:v>607</c:v>
                </c:pt>
                <c:pt idx="20">
                  <c:v>609</c:v>
                </c:pt>
                <c:pt idx="21">
                  <c:v>609.5</c:v>
                </c:pt>
                <c:pt idx="22">
                  <c:v>612</c:v>
                </c:pt>
                <c:pt idx="23">
                  <c:v>612.5</c:v>
                </c:pt>
                <c:pt idx="24">
                  <c:v>617</c:v>
                </c:pt>
                <c:pt idx="25">
                  <c:v>620</c:v>
                </c:pt>
                <c:pt idx="26">
                  <c:v>680</c:v>
                </c:pt>
                <c:pt idx="27">
                  <c:v>682</c:v>
                </c:pt>
                <c:pt idx="28">
                  <c:v>684</c:v>
                </c:pt>
                <c:pt idx="29">
                  <c:v>684.5</c:v>
                </c:pt>
                <c:pt idx="30">
                  <c:v>687.5</c:v>
                </c:pt>
                <c:pt idx="31">
                  <c:v>689</c:v>
                </c:pt>
                <c:pt idx="32">
                  <c:v>693.5</c:v>
                </c:pt>
                <c:pt idx="33">
                  <c:v>694.5</c:v>
                </c:pt>
                <c:pt idx="34">
                  <c:v>694.5</c:v>
                </c:pt>
                <c:pt idx="35">
                  <c:v>731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  <c:pt idx="7">
                  <c:v>6.1299999651964754E-4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3D-41A8-96C9-0A27BE5D651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1">
                    <c:v>0</c:v>
                  </c:pt>
                  <c:pt idx="3">
                    <c:v>0</c:v>
                  </c:pt>
                  <c:pt idx="6">
                    <c:v>1.8E-3</c:v>
                  </c:pt>
                  <c:pt idx="12">
                    <c:v>1.3999999999999999E-4</c:v>
                  </c:pt>
                  <c:pt idx="13">
                    <c:v>2.9999999999999997E-4</c:v>
                  </c:pt>
                  <c:pt idx="14">
                    <c:v>2.1000000000000001E-4</c:v>
                  </c:pt>
                  <c:pt idx="15">
                    <c:v>2.7000000000000001E-3</c:v>
                  </c:pt>
                  <c:pt idx="16">
                    <c:v>3.5000000000000001E-3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5.9999999999999995E-4</c:v>
                  </c:pt>
                  <c:pt idx="35">
                    <c:v>1.04E-2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1">
                    <c:v>0</c:v>
                  </c:pt>
                  <c:pt idx="3">
                    <c:v>0</c:v>
                  </c:pt>
                  <c:pt idx="6">
                    <c:v>1.8E-3</c:v>
                  </c:pt>
                  <c:pt idx="12">
                    <c:v>1.3999999999999999E-4</c:v>
                  </c:pt>
                  <c:pt idx="13">
                    <c:v>2.9999999999999997E-4</c:v>
                  </c:pt>
                  <c:pt idx="14">
                    <c:v>2.1000000000000001E-4</c:v>
                  </c:pt>
                  <c:pt idx="15">
                    <c:v>2.7000000000000001E-3</c:v>
                  </c:pt>
                  <c:pt idx="16">
                    <c:v>3.5000000000000001E-3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5.9999999999999995E-4</c:v>
                  </c:pt>
                  <c:pt idx="35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-11</c:v>
                </c:pt>
                <c:pt idx="1">
                  <c:v>-5.5</c:v>
                </c:pt>
                <c:pt idx="2">
                  <c:v>-5</c:v>
                </c:pt>
                <c:pt idx="3">
                  <c:v>-2.5</c:v>
                </c:pt>
                <c:pt idx="4">
                  <c:v>-2</c:v>
                </c:pt>
                <c:pt idx="5">
                  <c:v>0</c:v>
                </c:pt>
                <c:pt idx="6">
                  <c:v>0.5</c:v>
                </c:pt>
                <c:pt idx="7">
                  <c:v>1</c:v>
                </c:pt>
                <c:pt idx="8">
                  <c:v>6</c:v>
                </c:pt>
                <c:pt idx="9">
                  <c:v>84</c:v>
                </c:pt>
                <c:pt idx="10">
                  <c:v>86</c:v>
                </c:pt>
                <c:pt idx="11">
                  <c:v>322.5</c:v>
                </c:pt>
                <c:pt idx="12">
                  <c:v>322.5</c:v>
                </c:pt>
                <c:pt idx="13">
                  <c:v>325.5</c:v>
                </c:pt>
                <c:pt idx="14">
                  <c:v>326.5</c:v>
                </c:pt>
                <c:pt idx="15">
                  <c:v>366.5</c:v>
                </c:pt>
                <c:pt idx="16">
                  <c:v>372</c:v>
                </c:pt>
                <c:pt idx="17">
                  <c:v>527</c:v>
                </c:pt>
                <c:pt idx="18">
                  <c:v>528</c:v>
                </c:pt>
                <c:pt idx="19">
                  <c:v>607</c:v>
                </c:pt>
                <c:pt idx="20">
                  <c:v>609</c:v>
                </c:pt>
                <c:pt idx="21">
                  <c:v>609.5</c:v>
                </c:pt>
                <c:pt idx="22">
                  <c:v>612</c:v>
                </c:pt>
                <c:pt idx="23">
                  <c:v>612.5</c:v>
                </c:pt>
                <c:pt idx="24">
                  <c:v>617</c:v>
                </c:pt>
                <c:pt idx="25">
                  <c:v>620</c:v>
                </c:pt>
                <c:pt idx="26">
                  <c:v>680</c:v>
                </c:pt>
                <c:pt idx="27">
                  <c:v>682</c:v>
                </c:pt>
                <c:pt idx="28">
                  <c:v>684</c:v>
                </c:pt>
                <c:pt idx="29">
                  <c:v>684.5</c:v>
                </c:pt>
                <c:pt idx="30">
                  <c:v>687.5</c:v>
                </c:pt>
                <c:pt idx="31">
                  <c:v>689</c:v>
                </c:pt>
                <c:pt idx="32">
                  <c:v>693.5</c:v>
                </c:pt>
                <c:pt idx="33">
                  <c:v>694.5</c:v>
                </c:pt>
                <c:pt idx="34">
                  <c:v>694.5</c:v>
                </c:pt>
                <c:pt idx="35">
                  <c:v>731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12">
                  <c:v>1.3846825000000536</c:v>
                </c:pt>
                <c:pt idx="13">
                  <c:v>1.3844815000047674</c:v>
                </c:pt>
                <c:pt idx="14">
                  <c:v>1.3846245000022464</c:v>
                </c:pt>
                <c:pt idx="15">
                  <c:v>1.3844144999966375</c:v>
                </c:pt>
                <c:pt idx="16">
                  <c:v>1.7535999999381602E-2</c:v>
                </c:pt>
                <c:pt idx="17">
                  <c:v>2.5950999995984603E-2</c:v>
                </c:pt>
                <c:pt idx="18">
                  <c:v>2.7364000001398381E-2</c:v>
                </c:pt>
                <c:pt idx="19">
                  <c:v>3.1890999998722691E-2</c:v>
                </c:pt>
                <c:pt idx="20">
                  <c:v>3.3617000000958797E-2</c:v>
                </c:pt>
                <c:pt idx="21">
                  <c:v>1.4016735000041081</c:v>
                </c:pt>
                <c:pt idx="22">
                  <c:v>3.0356000002939254E-2</c:v>
                </c:pt>
                <c:pt idx="23">
                  <c:v>1.4031125000037719</c:v>
                </c:pt>
                <c:pt idx="24">
                  <c:v>3.4320999999181367E-2</c:v>
                </c:pt>
                <c:pt idx="25">
                  <c:v>3.3259999996516854E-2</c:v>
                </c:pt>
                <c:pt idx="26">
                  <c:v>3.7640000002284069E-2</c:v>
                </c:pt>
                <c:pt idx="27">
                  <c:v>3.7765999994007871E-2</c:v>
                </c:pt>
                <c:pt idx="28">
                  <c:v>3.8992000001599081E-2</c:v>
                </c:pt>
                <c:pt idx="29">
                  <c:v>1.4077485000016168</c:v>
                </c:pt>
                <c:pt idx="30">
                  <c:v>1.4079875000024913</c:v>
                </c:pt>
                <c:pt idx="31">
                  <c:v>3.7257000003592111E-2</c:v>
                </c:pt>
                <c:pt idx="32">
                  <c:v>1.4079655000023195</c:v>
                </c:pt>
                <c:pt idx="33">
                  <c:v>1.4077784999972209</c:v>
                </c:pt>
                <c:pt idx="34">
                  <c:v>1.410378499997023</c:v>
                </c:pt>
                <c:pt idx="35">
                  <c:v>4.1902999997546431E-2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3D-41A8-96C9-0A27BE5D651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1">
                    <c:v>0</c:v>
                  </c:pt>
                  <c:pt idx="3">
                    <c:v>0</c:v>
                  </c:pt>
                  <c:pt idx="6">
                    <c:v>1.8E-3</c:v>
                  </c:pt>
                  <c:pt idx="12">
                    <c:v>1.3999999999999999E-4</c:v>
                  </c:pt>
                  <c:pt idx="13">
                    <c:v>2.9999999999999997E-4</c:v>
                  </c:pt>
                  <c:pt idx="14">
                    <c:v>2.1000000000000001E-4</c:v>
                  </c:pt>
                  <c:pt idx="15">
                    <c:v>2.7000000000000001E-3</c:v>
                  </c:pt>
                  <c:pt idx="16">
                    <c:v>3.5000000000000001E-3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5.9999999999999995E-4</c:v>
                  </c:pt>
                  <c:pt idx="35">
                    <c:v>1.04E-2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1">
                    <c:v>0</c:v>
                  </c:pt>
                  <c:pt idx="3">
                    <c:v>0</c:v>
                  </c:pt>
                  <c:pt idx="6">
                    <c:v>1.8E-3</c:v>
                  </c:pt>
                  <c:pt idx="12">
                    <c:v>1.3999999999999999E-4</c:v>
                  </c:pt>
                  <c:pt idx="13">
                    <c:v>2.9999999999999997E-4</c:v>
                  </c:pt>
                  <c:pt idx="14">
                    <c:v>2.1000000000000001E-4</c:v>
                  </c:pt>
                  <c:pt idx="15">
                    <c:v>2.7000000000000001E-3</c:v>
                  </c:pt>
                  <c:pt idx="16">
                    <c:v>3.5000000000000001E-3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5.9999999999999995E-4</c:v>
                  </c:pt>
                  <c:pt idx="35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-11</c:v>
                </c:pt>
                <c:pt idx="1">
                  <c:v>-5.5</c:v>
                </c:pt>
                <c:pt idx="2">
                  <c:v>-5</c:v>
                </c:pt>
                <c:pt idx="3">
                  <c:v>-2.5</c:v>
                </c:pt>
                <c:pt idx="4">
                  <c:v>-2</c:v>
                </c:pt>
                <c:pt idx="5">
                  <c:v>0</c:v>
                </c:pt>
                <c:pt idx="6">
                  <c:v>0.5</c:v>
                </c:pt>
                <c:pt idx="7">
                  <c:v>1</c:v>
                </c:pt>
                <c:pt idx="8">
                  <c:v>6</c:v>
                </c:pt>
                <c:pt idx="9">
                  <c:v>84</c:v>
                </c:pt>
                <c:pt idx="10">
                  <c:v>86</c:v>
                </c:pt>
                <c:pt idx="11">
                  <c:v>322.5</c:v>
                </c:pt>
                <c:pt idx="12">
                  <c:v>322.5</c:v>
                </c:pt>
                <c:pt idx="13">
                  <c:v>325.5</c:v>
                </c:pt>
                <c:pt idx="14">
                  <c:v>326.5</c:v>
                </c:pt>
                <c:pt idx="15">
                  <c:v>366.5</c:v>
                </c:pt>
                <c:pt idx="16">
                  <c:v>372</c:v>
                </c:pt>
                <c:pt idx="17">
                  <c:v>527</c:v>
                </c:pt>
                <c:pt idx="18">
                  <c:v>528</c:v>
                </c:pt>
                <c:pt idx="19">
                  <c:v>607</c:v>
                </c:pt>
                <c:pt idx="20">
                  <c:v>609</c:v>
                </c:pt>
                <c:pt idx="21">
                  <c:v>609.5</c:v>
                </c:pt>
                <c:pt idx="22">
                  <c:v>612</c:v>
                </c:pt>
                <c:pt idx="23">
                  <c:v>612.5</c:v>
                </c:pt>
                <c:pt idx="24">
                  <c:v>617</c:v>
                </c:pt>
                <c:pt idx="25">
                  <c:v>620</c:v>
                </c:pt>
                <c:pt idx="26">
                  <c:v>680</c:v>
                </c:pt>
                <c:pt idx="27">
                  <c:v>682</c:v>
                </c:pt>
                <c:pt idx="28">
                  <c:v>684</c:v>
                </c:pt>
                <c:pt idx="29">
                  <c:v>684.5</c:v>
                </c:pt>
                <c:pt idx="30">
                  <c:v>687.5</c:v>
                </c:pt>
                <c:pt idx="31">
                  <c:v>689</c:v>
                </c:pt>
                <c:pt idx="32">
                  <c:v>693.5</c:v>
                </c:pt>
                <c:pt idx="33">
                  <c:v>694.5</c:v>
                </c:pt>
                <c:pt idx="34">
                  <c:v>694.5</c:v>
                </c:pt>
                <c:pt idx="35">
                  <c:v>731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3D-41A8-96C9-0A27BE5D651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1">
                    <c:v>0</c:v>
                  </c:pt>
                  <c:pt idx="3">
                    <c:v>0</c:v>
                  </c:pt>
                  <c:pt idx="6">
                    <c:v>1.8E-3</c:v>
                  </c:pt>
                  <c:pt idx="12">
                    <c:v>1.3999999999999999E-4</c:v>
                  </c:pt>
                  <c:pt idx="13">
                    <c:v>2.9999999999999997E-4</c:v>
                  </c:pt>
                  <c:pt idx="14">
                    <c:v>2.1000000000000001E-4</c:v>
                  </c:pt>
                  <c:pt idx="15">
                    <c:v>2.7000000000000001E-3</c:v>
                  </c:pt>
                  <c:pt idx="16">
                    <c:v>3.5000000000000001E-3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5.9999999999999995E-4</c:v>
                  </c:pt>
                  <c:pt idx="35">
                    <c:v>1.04E-2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1">
                    <c:v>0</c:v>
                  </c:pt>
                  <c:pt idx="3">
                    <c:v>0</c:v>
                  </c:pt>
                  <c:pt idx="6">
                    <c:v>1.8E-3</c:v>
                  </c:pt>
                  <c:pt idx="12">
                    <c:v>1.3999999999999999E-4</c:v>
                  </c:pt>
                  <c:pt idx="13">
                    <c:v>2.9999999999999997E-4</c:v>
                  </c:pt>
                  <c:pt idx="14">
                    <c:v>2.1000000000000001E-4</c:v>
                  </c:pt>
                  <c:pt idx="15">
                    <c:v>2.7000000000000001E-3</c:v>
                  </c:pt>
                  <c:pt idx="16">
                    <c:v>3.5000000000000001E-3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5.9999999999999995E-4</c:v>
                  </c:pt>
                  <c:pt idx="35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-11</c:v>
                </c:pt>
                <c:pt idx="1">
                  <c:v>-5.5</c:v>
                </c:pt>
                <c:pt idx="2">
                  <c:v>-5</c:v>
                </c:pt>
                <c:pt idx="3">
                  <c:v>-2.5</c:v>
                </c:pt>
                <c:pt idx="4">
                  <c:v>-2</c:v>
                </c:pt>
                <c:pt idx="5">
                  <c:v>0</c:v>
                </c:pt>
                <c:pt idx="6">
                  <c:v>0.5</c:v>
                </c:pt>
                <c:pt idx="7">
                  <c:v>1</c:v>
                </c:pt>
                <c:pt idx="8">
                  <c:v>6</c:v>
                </c:pt>
                <c:pt idx="9">
                  <c:v>84</c:v>
                </c:pt>
                <c:pt idx="10">
                  <c:v>86</c:v>
                </c:pt>
                <c:pt idx="11">
                  <c:v>322.5</c:v>
                </c:pt>
                <c:pt idx="12">
                  <c:v>322.5</c:v>
                </c:pt>
                <c:pt idx="13">
                  <c:v>325.5</c:v>
                </c:pt>
                <c:pt idx="14">
                  <c:v>326.5</c:v>
                </c:pt>
                <c:pt idx="15">
                  <c:v>366.5</c:v>
                </c:pt>
                <c:pt idx="16">
                  <c:v>372</c:v>
                </c:pt>
                <c:pt idx="17">
                  <c:v>527</c:v>
                </c:pt>
                <c:pt idx="18">
                  <c:v>528</c:v>
                </c:pt>
                <c:pt idx="19">
                  <c:v>607</c:v>
                </c:pt>
                <c:pt idx="20">
                  <c:v>609</c:v>
                </c:pt>
                <c:pt idx="21">
                  <c:v>609.5</c:v>
                </c:pt>
                <c:pt idx="22">
                  <c:v>612</c:v>
                </c:pt>
                <c:pt idx="23">
                  <c:v>612.5</c:v>
                </c:pt>
                <c:pt idx="24">
                  <c:v>617</c:v>
                </c:pt>
                <c:pt idx="25">
                  <c:v>620</c:v>
                </c:pt>
                <c:pt idx="26">
                  <c:v>680</c:v>
                </c:pt>
                <c:pt idx="27">
                  <c:v>682</c:v>
                </c:pt>
                <c:pt idx="28">
                  <c:v>684</c:v>
                </c:pt>
                <c:pt idx="29">
                  <c:v>684.5</c:v>
                </c:pt>
                <c:pt idx="30">
                  <c:v>687.5</c:v>
                </c:pt>
                <c:pt idx="31">
                  <c:v>689</c:v>
                </c:pt>
                <c:pt idx="32">
                  <c:v>693.5</c:v>
                </c:pt>
                <c:pt idx="33">
                  <c:v>694.5</c:v>
                </c:pt>
                <c:pt idx="34">
                  <c:v>694.5</c:v>
                </c:pt>
                <c:pt idx="35">
                  <c:v>731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3D-41A8-96C9-0A27BE5D651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1">
                    <c:v>0</c:v>
                  </c:pt>
                  <c:pt idx="3">
                    <c:v>0</c:v>
                  </c:pt>
                  <c:pt idx="6">
                    <c:v>1.8E-3</c:v>
                  </c:pt>
                  <c:pt idx="12">
                    <c:v>1.3999999999999999E-4</c:v>
                  </c:pt>
                  <c:pt idx="13">
                    <c:v>2.9999999999999997E-4</c:v>
                  </c:pt>
                  <c:pt idx="14">
                    <c:v>2.1000000000000001E-4</c:v>
                  </c:pt>
                  <c:pt idx="15">
                    <c:v>2.7000000000000001E-3</c:v>
                  </c:pt>
                  <c:pt idx="16">
                    <c:v>3.5000000000000001E-3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5.9999999999999995E-4</c:v>
                  </c:pt>
                  <c:pt idx="35">
                    <c:v>1.04E-2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1">
                    <c:v>0</c:v>
                  </c:pt>
                  <c:pt idx="3">
                    <c:v>0</c:v>
                  </c:pt>
                  <c:pt idx="6">
                    <c:v>1.8E-3</c:v>
                  </c:pt>
                  <c:pt idx="12">
                    <c:v>1.3999999999999999E-4</c:v>
                  </c:pt>
                  <c:pt idx="13">
                    <c:v>2.9999999999999997E-4</c:v>
                  </c:pt>
                  <c:pt idx="14">
                    <c:v>2.1000000000000001E-4</c:v>
                  </c:pt>
                  <c:pt idx="15">
                    <c:v>2.7000000000000001E-3</c:v>
                  </c:pt>
                  <c:pt idx="16">
                    <c:v>3.5000000000000001E-3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1.4E-3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2.9999999999999997E-4</c:v>
                  </c:pt>
                  <c:pt idx="34">
                    <c:v>5.9999999999999995E-4</c:v>
                  </c:pt>
                  <c:pt idx="35">
                    <c:v>1.04E-2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-11</c:v>
                </c:pt>
                <c:pt idx="1">
                  <c:v>-5.5</c:v>
                </c:pt>
                <c:pt idx="2">
                  <c:v>-5</c:v>
                </c:pt>
                <c:pt idx="3">
                  <c:v>-2.5</c:v>
                </c:pt>
                <c:pt idx="4">
                  <c:v>-2</c:v>
                </c:pt>
                <c:pt idx="5">
                  <c:v>0</c:v>
                </c:pt>
                <c:pt idx="6">
                  <c:v>0.5</c:v>
                </c:pt>
                <c:pt idx="7">
                  <c:v>1</c:v>
                </c:pt>
                <c:pt idx="8">
                  <c:v>6</c:v>
                </c:pt>
                <c:pt idx="9">
                  <c:v>84</c:v>
                </c:pt>
                <c:pt idx="10">
                  <c:v>86</c:v>
                </c:pt>
                <c:pt idx="11">
                  <c:v>322.5</c:v>
                </c:pt>
                <c:pt idx="12">
                  <c:v>322.5</c:v>
                </c:pt>
                <c:pt idx="13">
                  <c:v>325.5</c:v>
                </c:pt>
                <c:pt idx="14">
                  <c:v>326.5</c:v>
                </c:pt>
                <c:pt idx="15">
                  <c:v>366.5</c:v>
                </c:pt>
                <c:pt idx="16">
                  <c:v>372</c:v>
                </c:pt>
                <c:pt idx="17">
                  <c:v>527</c:v>
                </c:pt>
                <c:pt idx="18">
                  <c:v>528</c:v>
                </c:pt>
                <c:pt idx="19">
                  <c:v>607</c:v>
                </c:pt>
                <c:pt idx="20">
                  <c:v>609</c:v>
                </c:pt>
                <c:pt idx="21">
                  <c:v>609.5</c:v>
                </c:pt>
                <c:pt idx="22">
                  <c:v>612</c:v>
                </c:pt>
                <c:pt idx="23">
                  <c:v>612.5</c:v>
                </c:pt>
                <c:pt idx="24">
                  <c:v>617</c:v>
                </c:pt>
                <c:pt idx="25">
                  <c:v>620</c:v>
                </c:pt>
                <c:pt idx="26">
                  <c:v>680</c:v>
                </c:pt>
                <c:pt idx="27">
                  <c:v>682</c:v>
                </c:pt>
                <c:pt idx="28">
                  <c:v>684</c:v>
                </c:pt>
                <c:pt idx="29">
                  <c:v>684.5</c:v>
                </c:pt>
                <c:pt idx="30">
                  <c:v>687.5</c:v>
                </c:pt>
                <c:pt idx="31">
                  <c:v>689</c:v>
                </c:pt>
                <c:pt idx="32">
                  <c:v>693.5</c:v>
                </c:pt>
                <c:pt idx="33">
                  <c:v>694.5</c:v>
                </c:pt>
                <c:pt idx="34">
                  <c:v>694.5</c:v>
                </c:pt>
                <c:pt idx="35">
                  <c:v>731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3D-41A8-96C9-0A27BE5D651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Pri. Fit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-11</c:v>
                </c:pt>
                <c:pt idx="1">
                  <c:v>-5.5</c:v>
                </c:pt>
                <c:pt idx="2">
                  <c:v>-5</c:v>
                </c:pt>
                <c:pt idx="3">
                  <c:v>-2.5</c:v>
                </c:pt>
                <c:pt idx="4">
                  <c:v>-2</c:v>
                </c:pt>
                <c:pt idx="5">
                  <c:v>0</c:v>
                </c:pt>
                <c:pt idx="6">
                  <c:v>0.5</c:v>
                </c:pt>
                <c:pt idx="7">
                  <c:v>1</c:v>
                </c:pt>
                <c:pt idx="8">
                  <c:v>6</c:v>
                </c:pt>
                <c:pt idx="9">
                  <c:v>84</c:v>
                </c:pt>
                <c:pt idx="10">
                  <c:v>86</c:v>
                </c:pt>
                <c:pt idx="11">
                  <c:v>322.5</c:v>
                </c:pt>
                <c:pt idx="12">
                  <c:v>322.5</c:v>
                </c:pt>
                <c:pt idx="13">
                  <c:v>325.5</c:v>
                </c:pt>
                <c:pt idx="14">
                  <c:v>326.5</c:v>
                </c:pt>
                <c:pt idx="15">
                  <c:v>366.5</c:v>
                </c:pt>
                <c:pt idx="16">
                  <c:v>372</c:v>
                </c:pt>
                <c:pt idx="17">
                  <c:v>527</c:v>
                </c:pt>
                <c:pt idx="18">
                  <c:v>528</c:v>
                </c:pt>
                <c:pt idx="19">
                  <c:v>607</c:v>
                </c:pt>
                <c:pt idx="20">
                  <c:v>609</c:v>
                </c:pt>
                <c:pt idx="21">
                  <c:v>609.5</c:v>
                </c:pt>
                <c:pt idx="22">
                  <c:v>612</c:v>
                </c:pt>
                <c:pt idx="23">
                  <c:v>612.5</c:v>
                </c:pt>
                <c:pt idx="24">
                  <c:v>617</c:v>
                </c:pt>
                <c:pt idx="25">
                  <c:v>620</c:v>
                </c:pt>
                <c:pt idx="26">
                  <c:v>680</c:v>
                </c:pt>
                <c:pt idx="27">
                  <c:v>682</c:v>
                </c:pt>
                <c:pt idx="28">
                  <c:v>684</c:v>
                </c:pt>
                <c:pt idx="29">
                  <c:v>684.5</c:v>
                </c:pt>
                <c:pt idx="30">
                  <c:v>687.5</c:v>
                </c:pt>
                <c:pt idx="31">
                  <c:v>689</c:v>
                </c:pt>
                <c:pt idx="32">
                  <c:v>693.5</c:v>
                </c:pt>
                <c:pt idx="33">
                  <c:v>694.5</c:v>
                </c:pt>
                <c:pt idx="34">
                  <c:v>694.5</c:v>
                </c:pt>
                <c:pt idx="35">
                  <c:v>731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0">
                  <c:v>-2.6964480411749135E-3</c:v>
                </c:pt>
                <c:pt idx="1">
                  <c:v>-2.3813951800757968E-3</c:v>
                </c:pt>
                <c:pt idx="2">
                  <c:v>-2.3527540108849681E-3</c:v>
                </c:pt>
                <c:pt idx="3">
                  <c:v>-2.2095481649308246E-3</c:v>
                </c:pt>
                <c:pt idx="4">
                  <c:v>-2.1809069957399955E-3</c:v>
                </c:pt>
                <c:pt idx="5">
                  <c:v>-2.0663423189766807E-3</c:v>
                </c:pt>
                <c:pt idx="6">
                  <c:v>-2.037701149785852E-3</c:v>
                </c:pt>
                <c:pt idx="7">
                  <c:v>-2.0090599805950233E-3</c:v>
                </c:pt>
                <c:pt idx="8">
                  <c:v>-1.7226482886867356E-3</c:v>
                </c:pt>
                <c:pt idx="9">
                  <c:v>2.7453741050825504E-3</c:v>
                </c:pt>
                <c:pt idx="10">
                  <c:v>2.8599387818458661E-3</c:v>
                </c:pt>
                <c:pt idx="11">
                  <c:v>1.6407211809107869E-2</c:v>
                </c:pt>
                <c:pt idx="12">
                  <c:v>1.6407211809107869E-2</c:v>
                </c:pt>
                <c:pt idx="13">
                  <c:v>1.657905882425284E-2</c:v>
                </c:pt>
                <c:pt idx="14">
                  <c:v>1.6636341162634499E-2</c:v>
                </c:pt>
                <c:pt idx="15">
                  <c:v>1.8927634697900798E-2</c:v>
                </c:pt>
                <c:pt idx="16">
                  <c:v>1.9242687558999917E-2</c:v>
                </c:pt>
                <c:pt idx="17">
                  <c:v>2.8121450008156832E-2</c:v>
                </c:pt>
                <c:pt idx="18">
                  <c:v>2.8178732346538487E-2</c:v>
                </c:pt>
                <c:pt idx="19">
                  <c:v>3.2704037078689435E-2</c:v>
                </c:pt>
                <c:pt idx="20">
                  <c:v>3.2818601755452745E-2</c:v>
                </c:pt>
                <c:pt idx="21">
                  <c:v>3.2847242924643583E-2</c:v>
                </c:pt>
                <c:pt idx="22">
                  <c:v>3.2990448770597716E-2</c:v>
                </c:pt>
                <c:pt idx="23">
                  <c:v>3.3019089939788554E-2</c:v>
                </c:pt>
                <c:pt idx="24">
                  <c:v>3.3276860462506011E-2</c:v>
                </c:pt>
                <c:pt idx="25">
                  <c:v>3.3448707477650982E-2</c:v>
                </c:pt>
                <c:pt idx="26">
                  <c:v>3.6885647780550437E-2</c:v>
                </c:pt>
                <c:pt idx="27">
                  <c:v>3.7000212457313747E-2</c:v>
                </c:pt>
                <c:pt idx="28">
                  <c:v>3.7114777134077057E-2</c:v>
                </c:pt>
                <c:pt idx="29">
                  <c:v>3.7143418303267894E-2</c:v>
                </c:pt>
                <c:pt idx="30">
                  <c:v>3.7315265318412866E-2</c:v>
                </c:pt>
                <c:pt idx="31">
                  <c:v>3.7401188825985351E-2</c:v>
                </c:pt>
                <c:pt idx="32">
                  <c:v>3.7658959348702808E-2</c:v>
                </c:pt>
                <c:pt idx="33">
                  <c:v>3.771624168708447E-2</c:v>
                </c:pt>
                <c:pt idx="34">
                  <c:v>3.771624168708447E-2</c:v>
                </c:pt>
                <c:pt idx="35">
                  <c:v>3.9807047038014964E-2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3D-41A8-96C9-0A27BE5D6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529424"/>
        <c:axId val="1"/>
      </c:scatterChart>
      <c:valAx>
        <c:axId val="768529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1134020618559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529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7010309278349"/>
          <c:y val="0.91900605882208652"/>
          <c:w val="0.6824742268041237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V1094 Tau - Primary O-C Diagr.</a:t>
            </a:r>
          </a:p>
        </c:rich>
      </c:tx>
      <c:layout>
        <c:manualLayout>
          <c:xMode val="edge"/>
          <c:yMode val="edge"/>
          <c:x val="0.2530868517978462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18555729479588"/>
          <c:y val="0.14678942920199375"/>
          <c:w val="0.75926078490866311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-11</c:v>
                </c:pt>
                <c:pt idx="1">
                  <c:v>-5.5</c:v>
                </c:pt>
                <c:pt idx="2">
                  <c:v>-5</c:v>
                </c:pt>
                <c:pt idx="3">
                  <c:v>-2.5</c:v>
                </c:pt>
                <c:pt idx="4">
                  <c:v>-2</c:v>
                </c:pt>
                <c:pt idx="5">
                  <c:v>0</c:v>
                </c:pt>
                <c:pt idx="6">
                  <c:v>0.5</c:v>
                </c:pt>
                <c:pt idx="7">
                  <c:v>1</c:v>
                </c:pt>
                <c:pt idx="8">
                  <c:v>6</c:v>
                </c:pt>
                <c:pt idx="9">
                  <c:v>84</c:v>
                </c:pt>
                <c:pt idx="10">
                  <c:v>86</c:v>
                </c:pt>
                <c:pt idx="11">
                  <c:v>322.5</c:v>
                </c:pt>
                <c:pt idx="12">
                  <c:v>322.5</c:v>
                </c:pt>
                <c:pt idx="13">
                  <c:v>325.5</c:v>
                </c:pt>
                <c:pt idx="14">
                  <c:v>326.5</c:v>
                </c:pt>
                <c:pt idx="15">
                  <c:v>366.5</c:v>
                </c:pt>
                <c:pt idx="16">
                  <c:v>372</c:v>
                </c:pt>
                <c:pt idx="17">
                  <c:v>527</c:v>
                </c:pt>
                <c:pt idx="18">
                  <c:v>528</c:v>
                </c:pt>
                <c:pt idx="19">
                  <c:v>607</c:v>
                </c:pt>
                <c:pt idx="20">
                  <c:v>609</c:v>
                </c:pt>
                <c:pt idx="21">
                  <c:v>609.5</c:v>
                </c:pt>
                <c:pt idx="22">
                  <c:v>612</c:v>
                </c:pt>
                <c:pt idx="23">
                  <c:v>612.5</c:v>
                </c:pt>
                <c:pt idx="24">
                  <c:v>617</c:v>
                </c:pt>
                <c:pt idx="25">
                  <c:v>620</c:v>
                </c:pt>
                <c:pt idx="26">
                  <c:v>680</c:v>
                </c:pt>
                <c:pt idx="27">
                  <c:v>682</c:v>
                </c:pt>
                <c:pt idx="28">
                  <c:v>684</c:v>
                </c:pt>
                <c:pt idx="29">
                  <c:v>684.5</c:v>
                </c:pt>
                <c:pt idx="30">
                  <c:v>687.5</c:v>
                </c:pt>
                <c:pt idx="31">
                  <c:v>689</c:v>
                </c:pt>
                <c:pt idx="32">
                  <c:v>693.5</c:v>
                </c:pt>
                <c:pt idx="33">
                  <c:v>694.5</c:v>
                </c:pt>
                <c:pt idx="34">
                  <c:v>694.5</c:v>
                </c:pt>
                <c:pt idx="35">
                  <c:v>731</c:v>
                </c:pt>
              </c:numCache>
            </c:numRef>
          </c:xVal>
          <c:yVal>
            <c:numRef>
              <c:f>'Active 1'!$R$21:$R$992</c:f>
              <c:numCache>
                <c:formatCode>General</c:formatCode>
                <c:ptCount val="972"/>
                <c:pt idx="2">
                  <c:v>-1.4650000011897646E-3</c:v>
                </c:pt>
                <c:pt idx="4">
                  <c:v>-1.9260000044596381E-3</c:v>
                </c:pt>
                <c:pt idx="5">
                  <c:v>2.0000000222353265E-4</c:v>
                </c:pt>
                <c:pt idx="7">
                  <c:v>6.1299999651964754E-4</c:v>
                </c:pt>
                <c:pt idx="8">
                  <c:v>-1.3220000037108548E-3</c:v>
                </c:pt>
                <c:pt idx="9">
                  <c:v>4.9199999921256676E-4</c:v>
                </c:pt>
                <c:pt idx="10">
                  <c:v>-1.8199999612988904E-4</c:v>
                </c:pt>
                <c:pt idx="16">
                  <c:v>1.7535999999381602E-2</c:v>
                </c:pt>
                <c:pt idx="17">
                  <c:v>2.5950999995984603E-2</c:v>
                </c:pt>
                <c:pt idx="18">
                  <c:v>2.7364000001398381E-2</c:v>
                </c:pt>
                <c:pt idx="19">
                  <c:v>3.1890999998722691E-2</c:v>
                </c:pt>
                <c:pt idx="20">
                  <c:v>3.3617000000958797E-2</c:v>
                </c:pt>
                <c:pt idx="22">
                  <c:v>3.0356000002939254E-2</c:v>
                </c:pt>
                <c:pt idx="24">
                  <c:v>3.4320999999181367E-2</c:v>
                </c:pt>
                <c:pt idx="25">
                  <c:v>3.3259999996516854E-2</c:v>
                </c:pt>
                <c:pt idx="26">
                  <c:v>3.7640000002284069E-2</c:v>
                </c:pt>
                <c:pt idx="27">
                  <c:v>3.7765999994007871E-2</c:v>
                </c:pt>
                <c:pt idx="28">
                  <c:v>3.8992000001599081E-2</c:v>
                </c:pt>
                <c:pt idx="31">
                  <c:v>3.7257000003592111E-2</c:v>
                </c:pt>
                <c:pt idx="35">
                  <c:v>4.1902999997546431E-2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08-47CB-B137-2ED3CC07D77A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Pri. Fit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-11</c:v>
                </c:pt>
                <c:pt idx="1">
                  <c:v>-5.5</c:v>
                </c:pt>
                <c:pt idx="2">
                  <c:v>-5</c:v>
                </c:pt>
                <c:pt idx="3">
                  <c:v>-2.5</c:v>
                </c:pt>
                <c:pt idx="4">
                  <c:v>-2</c:v>
                </c:pt>
                <c:pt idx="5">
                  <c:v>0</c:v>
                </c:pt>
                <c:pt idx="6">
                  <c:v>0.5</c:v>
                </c:pt>
                <c:pt idx="7">
                  <c:v>1</c:v>
                </c:pt>
                <c:pt idx="8">
                  <c:v>6</c:v>
                </c:pt>
                <c:pt idx="9">
                  <c:v>84</c:v>
                </c:pt>
                <c:pt idx="10">
                  <c:v>86</c:v>
                </c:pt>
                <c:pt idx="11">
                  <c:v>322.5</c:v>
                </c:pt>
                <c:pt idx="12">
                  <c:v>322.5</c:v>
                </c:pt>
                <c:pt idx="13">
                  <c:v>325.5</c:v>
                </c:pt>
                <c:pt idx="14">
                  <c:v>326.5</c:v>
                </c:pt>
                <c:pt idx="15">
                  <c:v>366.5</c:v>
                </c:pt>
                <c:pt idx="16">
                  <c:v>372</c:v>
                </c:pt>
                <c:pt idx="17">
                  <c:v>527</c:v>
                </c:pt>
                <c:pt idx="18">
                  <c:v>528</c:v>
                </c:pt>
                <c:pt idx="19">
                  <c:v>607</c:v>
                </c:pt>
                <c:pt idx="20">
                  <c:v>609</c:v>
                </c:pt>
                <c:pt idx="21">
                  <c:v>609.5</c:v>
                </c:pt>
                <c:pt idx="22">
                  <c:v>612</c:v>
                </c:pt>
                <c:pt idx="23">
                  <c:v>612.5</c:v>
                </c:pt>
                <c:pt idx="24">
                  <c:v>617</c:v>
                </c:pt>
                <c:pt idx="25">
                  <c:v>620</c:v>
                </c:pt>
                <c:pt idx="26">
                  <c:v>680</c:v>
                </c:pt>
                <c:pt idx="27">
                  <c:v>682</c:v>
                </c:pt>
                <c:pt idx="28">
                  <c:v>684</c:v>
                </c:pt>
                <c:pt idx="29">
                  <c:v>684.5</c:v>
                </c:pt>
                <c:pt idx="30">
                  <c:v>687.5</c:v>
                </c:pt>
                <c:pt idx="31">
                  <c:v>689</c:v>
                </c:pt>
                <c:pt idx="32">
                  <c:v>693.5</c:v>
                </c:pt>
                <c:pt idx="33">
                  <c:v>694.5</c:v>
                </c:pt>
                <c:pt idx="34">
                  <c:v>694.5</c:v>
                </c:pt>
                <c:pt idx="35">
                  <c:v>731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0">
                  <c:v>-2.6964480411749135E-3</c:v>
                </c:pt>
                <c:pt idx="1">
                  <c:v>-2.3813951800757968E-3</c:v>
                </c:pt>
                <c:pt idx="2">
                  <c:v>-2.3527540108849681E-3</c:v>
                </c:pt>
                <c:pt idx="3">
                  <c:v>-2.2095481649308246E-3</c:v>
                </c:pt>
                <c:pt idx="4">
                  <c:v>-2.1809069957399955E-3</c:v>
                </c:pt>
                <c:pt idx="5">
                  <c:v>-2.0663423189766807E-3</c:v>
                </c:pt>
                <c:pt idx="6">
                  <c:v>-2.037701149785852E-3</c:v>
                </c:pt>
                <c:pt idx="7">
                  <c:v>-2.0090599805950233E-3</c:v>
                </c:pt>
                <c:pt idx="8">
                  <c:v>-1.7226482886867356E-3</c:v>
                </c:pt>
                <c:pt idx="9">
                  <c:v>2.7453741050825504E-3</c:v>
                </c:pt>
                <c:pt idx="10">
                  <c:v>2.8599387818458661E-3</c:v>
                </c:pt>
                <c:pt idx="11">
                  <c:v>1.6407211809107869E-2</c:v>
                </c:pt>
                <c:pt idx="12">
                  <c:v>1.6407211809107869E-2</c:v>
                </c:pt>
                <c:pt idx="13">
                  <c:v>1.657905882425284E-2</c:v>
                </c:pt>
                <c:pt idx="14">
                  <c:v>1.6636341162634499E-2</c:v>
                </c:pt>
                <c:pt idx="15">
                  <c:v>1.8927634697900798E-2</c:v>
                </c:pt>
                <c:pt idx="16">
                  <c:v>1.9242687558999917E-2</c:v>
                </c:pt>
                <c:pt idx="17">
                  <c:v>2.8121450008156832E-2</c:v>
                </c:pt>
                <c:pt idx="18">
                  <c:v>2.8178732346538487E-2</c:v>
                </c:pt>
                <c:pt idx="19">
                  <c:v>3.2704037078689435E-2</c:v>
                </c:pt>
                <c:pt idx="20">
                  <c:v>3.2818601755452745E-2</c:v>
                </c:pt>
                <c:pt idx="21">
                  <c:v>3.2847242924643583E-2</c:v>
                </c:pt>
                <c:pt idx="22">
                  <c:v>3.2990448770597716E-2</c:v>
                </c:pt>
                <c:pt idx="23">
                  <c:v>3.3019089939788554E-2</c:v>
                </c:pt>
                <c:pt idx="24">
                  <c:v>3.3276860462506011E-2</c:v>
                </c:pt>
                <c:pt idx="25">
                  <c:v>3.3448707477650982E-2</c:v>
                </c:pt>
                <c:pt idx="26">
                  <c:v>3.6885647780550437E-2</c:v>
                </c:pt>
                <c:pt idx="27">
                  <c:v>3.7000212457313747E-2</c:v>
                </c:pt>
                <c:pt idx="28">
                  <c:v>3.7114777134077057E-2</c:v>
                </c:pt>
                <c:pt idx="29">
                  <c:v>3.7143418303267894E-2</c:v>
                </c:pt>
                <c:pt idx="30">
                  <c:v>3.7315265318412866E-2</c:v>
                </c:pt>
                <c:pt idx="31">
                  <c:v>3.7401188825985351E-2</c:v>
                </c:pt>
                <c:pt idx="32">
                  <c:v>3.7658959348702808E-2</c:v>
                </c:pt>
                <c:pt idx="33">
                  <c:v>3.771624168708447E-2</c:v>
                </c:pt>
                <c:pt idx="34">
                  <c:v>3.771624168708447E-2</c:v>
                </c:pt>
                <c:pt idx="35">
                  <c:v>3.9807047038014964E-2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08-47CB-B137-2ED3CC07D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535544"/>
        <c:axId val="1"/>
      </c:scatterChart>
      <c:valAx>
        <c:axId val="768535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49805039802123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613384746659752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535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543253081019191"/>
          <c:y val="0.9204921861831491"/>
          <c:w val="0.479424732402276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V1094 Tau - Secondary O-C Diagr.</a:t>
            </a:r>
          </a:p>
        </c:rich>
      </c:tx>
      <c:layout>
        <c:manualLayout>
          <c:xMode val="edge"/>
          <c:yMode val="edge"/>
          <c:x val="0.22839549377315488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0938426204078"/>
          <c:y val="0.15189896889056456"/>
          <c:w val="0.77983695794141816"/>
          <c:h val="0.617089561117918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-11</c:v>
                </c:pt>
                <c:pt idx="1">
                  <c:v>-5.5</c:v>
                </c:pt>
                <c:pt idx="2">
                  <c:v>-5</c:v>
                </c:pt>
                <c:pt idx="3">
                  <c:v>-2.5</c:v>
                </c:pt>
                <c:pt idx="4">
                  <c:v>-2</c:v>
                </c:pt>
                <c:pt idx="5">
                  <c:v>0</c:v>
                </c:pt>
                <c:pt idx="6">
                  <c:v>0.5</c:v>
                </c:pt>
                <c:pt idx="7">
                  <c:v>1</c:v>
                </c:pt>
                <c:pt idx="8">
                  <c:v>6</c:v>
                </c:pt>
                <c:pt idx="9">
                  <c:v>84</c:v>
                </c:pt>
                <c:pt idx="10">
                  <c:v>86</c:v>
                </c:pt>
                <c:pt idx="11">
                  <c:v>322.5</c:v>
                </c:pt>
                <c:pt idx="12">
                  <c:v>322.5</c:v>
                </c:pt>
                <c:pt idx="13">
                  <c:v>325.5</c:v>
                </c:pt>
                <c:pt idx="14">
                  <c:v>326.5</c:v>
                </c:pt>
                <c:pt idx="15">
                  <c:v>366.5</c:v>
                </c:pt>
                <c:pt idx="16">
                  <c:v>372</c:v>
                </c:pt>
                <c:pt idx="17">
                  <c:v>527</c:v>
                </c:pt>
                <c:pt idx="18">
                  <c:v>528</c:v>
                </c:pt>
                <c:pt idx="19">
                  <c:v>607</c:v>
                </c:pt>
                <c:pt idx="20">
                  <c:v>609</c:v>
                </c:pt>
                <c:pt idx="21">
                  <c:v>609.5</c:v>
                </c:pt>
                <c:pt idx="22">
                  <c:v>612</c:v>
                </c:pt>
                <c:pt idx="23">
                  <c:v>612.5</c:v>
                </c:pt>
                <c:pt idx="24">
                  <c:v>617</c:v>
                </c:pt>
                <c:pt idx="25">
                  <c:v>620</c:v>
                </c:pt>
                <c:pt idx="26">
                  <c:v>680</c:v>
                </c:pt>
                <c:pt idx="27">
                  <c:v>682</c:v>
                </c:pt>
                <c:pt idx="28">
                  <c:v>684</c:v>
                </c:pt>
                <c:pt idx="29">
                  <c:v>684.5</c:v>
                </c:pt>
                <c:pt idx="30">
                  <c:v>687.5</c:v>
                </c:pt>
                <c:pt idx="31">
                  <c:v>689</c:v>
                </c:pt>
                <c:pt idx="32">
                  <c:v>693.5</c:v>
                </c:pt>
                <c:pt idx="33">
                  <c:v>694.5</c:v>
                </c:pt>
                <c:pt idx="34">
                  <c:v>694.5</c:v>
                </c:pt>
                <c:pt idx="35">
                  <c:v>731</c:v>
                </c:pt>
              </c:numCache>
            </c:numRef>
          </c:xVal>
          <c:yVal>
            <c:numRef>
              <c:f>'Active 1'!$S$21:$S$992</c:f>
              <c:numCache>
                <c:formatCode>General</c:formatCode>
                <c:ptCount val="972"/>
                <c:pt idx="1">
                  <c:v>1.3627784999989672</c:v>
                </c:pt>
                <c:pt idx="3">
                  <c:v>1.3623175000029732</c:v>
                </c:pt>
                <c:pt idx="6">
                  <c:v>1.3647564999992028</c:v>
                </c:pt>
                <c:pt idx="11">
                  <c:v>1.384642500001064</c:v>
                </c:pt>
                <c:pt idx="12">
                  <c:v>1.3846825000000536</c:v>
                </c:pt>
                <c:pt idx="13">
                  <c:v>1.3844815000047674</c:v>
                </c:pt>
                <c:pt idx="14">
                  <c:v>1.3846245000022464</c:v>
                </c:pt>
                <c:pt idx="15">
                  <c:v>1.3844144999966375</c:v>
                </c:pt>
                <c:pt idx="21">
                  <c:v>1.4016735000041081</c:v>
                </c:pt>
                <c:pt idx="23">
                  <c:v>1.4031125000037719</c:v>
                </c:pt>
                <c:pt idx="29">
                  <c:v>1.4077485000016168</c:v>
                </c:pt>
                <c:pt idx="30">
                  <c:v>1.4079875000024913</c:v>
                </c:pt>
                <c:pt idx="32">
                  <c:v>1.4079655000023195</c:v>
                </c:pt>
                <c:pt idx="33">
                  <c:v>1.4077784999972209</c:v>
                </c:pt>
                <c:pt idx="34">
                  <c:v>1.410378499997023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BC-4B31-AE7E-B95DFA0ACBB0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-11</c:v>
                </c:pt>
                <c:pt idx="1">
                  <c:v>-5.5</c:v>
                </c:pt>
                <c:pt idx="2">
                  <c:v>-5</c:v>
                </c:pt>
                <c:pt idx="3">
                  <c:v>-2.5</c:v>
                </c:pt>
                <c:pt idx="4">
                  <c:v>-2</c:v>
                </c:pt>
                <c:pt idx="5">
                  <c:v>0</c:v>
                </c:pt>
                <c:pt idx="6">
                  <c:v>0.5</c:v>
                </c:pt>
                <c:pt idx="7">
                  <c:v>1</c:v>
                </c:pt>
                <c:pt idx="8">
                  <c:v>6</c:v>
                </c:pt>
                <c:pt idx="9">
                  <c:v>84</c:v>
                </c:pt>
                <c:pt idx="10">
                  <c:v>86</c:v>
                </c:pt>
                <c:pt idx="11">
                  <c:v>322.5</c:v>
                </c:pt>
                <c:pt idx="12">
                  <c:v>322.5</c:v>
                </c:pt>
                <c:pt idx="13">
                  <c:v>325.5</c:v>
                </c:pt>
                <c:pt idx="14">
                  <c:v>326.5</c:v>
                </c:pt>
                <c:pt idx="15">
                  <c:v>366.5</c:v>
                </c:pt>
                <c:pt idx="16">
                  <c:v>372</c:v>
                </c:pt>
                <c:pt idx="17">
                  <c:v>527</c:v>
                </c:pt>
                <c:pt idx="18">
                  <c:v>528</c:v>
                </c:pt>
                <c:pt idx="19">
                  <c:v>607</c:v>
                </c:pt>
                <c:pt idx="20">
                  <c:v>609</c:v>
                </c:pt>
                <c:pt idx="21">
                  <c:v>609.5</c:v>
                </c:pt>
                <c:pt idx="22">
                  <c:v>612</c:v>
                </c:pt>
                <c:pt idx="23">
                  <c:v>612.5</c:v>
                </c:pt>
                <c:pt idx="24">
                  <c:v>617</c:v>
                </c:pt>
                <c:pt idx="25">
                  <c:v>620</c:v>
                </c:pt>
                <c:pt idx="26">
                  <c:v>680</c:v>
                </c:pt>
                <c:pt idx="27">
                  <c:v>682</c:v>
                </c:pt>
                <c:pt idx="28">
                  <c:v>684</c:v>
                </c:pt>
                <c:pt idx="29">
                  <c:v>684.5</c:v>
                </c:pt>
                <c:pt idx="30">
                  <c:v>687.5</c:v>
                </c:pt>
                <c:pt idx="31">
                  <c:v>689</c:v>
                </c:pt>
                <c:pt idx="32">
                  <c:v>693.5</c:v>
                </c:pt>
                <c:pt idx="33">
                  <c:v>694.5</c:v>
                </c:pt>
                <c:pt idx="34">
                  <c:v>694.5</c:v>
                </c:pt>
                <c:pt idx="35">
                  <c:v>731</c:v>
                </c:pt>
              </c:numCache>
            </c:numRef>
          </c:xVal>
          <c:yVal>
            <c:numRef>
              <c:f>'Active 1'!$P$21:$P$992</c:f>
              <c:numCache>
                <c:formatCode>General</c:formatCode>
                <c:ptCount val="972"/>
                <c:pt idx="0">
                  <c:v>1.3625238118735126</c:v>
                </c:pt>
                <c:pt idx="1">
                  <c:v>1.3628805905223027</c:v>
                </c:pt>
                <c:pt idx="2">
                  <c:v>1.3629130249449202</c:v>
                </c:pt>
                <c:pt idx="3">
                  <c:v>1.3630751970580066</c:v>
                </c:pt>
                <c:pt idx="4">
                  <c:v>1.3631076314806239</c:v>
                </c:pt>
                <c:pt idx="5">
                  <c:v>1.3632373691710931</c:v>
                </c:pt>
                <c:pt idx="6">
                  <c:v>1.3632698035937103</c:v>
                </c:pt>
                <c:pt idx="7">
                  <c:v>1.3633022380163275</c:v>
                </c:pt>
                <c:pt idx="8">
                  <c:v>1.3636265822425007</c:v>
                </c:pt>
                <c:pt idx="9">
                  <c:v>1.368686352170799</c:v>
                </c:pt>
                <c:pt idx="10">
                  <c:v>1.3688160898612682</c:v>
                </c:pt>
                <c:pt idx="11">
                  <c:v>1.3841575717592498</c:v>
                </c:pt>
                <c:pt idx="12">
                  <c:v>1.3841575717592498</c:v>
                </c:pt>
                <c:pt idx="13">
                  <c:v>1.3843521782949535</c:v>
                </c:pt>
                <c:pt idx="14">
                  <c:v>1.384417047140188</c:v>
                </c:pt>
                <c:pt idx="15">
                  <c:v>1.3870118009495718</c:v>
                </c:pt>
                <c:pt idx="16">
                  <c:v>1.3873685795983621</c:v>
                </c:pt>
                <c:pt idx="17">
                  <c:v>1.3974232506097242</c:v>
                </c:pt>
                <c:pt idx="18">
                  <c:v>1.3974881194549589</c:v>
                </c:pt>
                <c:pt idx="19">
                  <c:v>1.4026127582284917</c:v>
                </c:pt>
                <c:pt idx="20">
                  <c:v>1.4027424959189609</c:v>
                </c:pt>
                <c:pt idx="21">
                  <c:v>1.4027749303415782</c:v>
                </c:pt>
                <c:pt idx="22">
                  <c:v>1.4029371024546649</c:v>
                </c:pt>
                <c:pt idx="23">
                  <c:v>1.4029695368772821</c:v>
                </c:pt>
                <c:pt idx="24">
                  <c:v>1.4032614466808377</c:v>
                </c:pt>
                <c:pt idx="25">
                  <c:v>1.4034560532165414</c:v>
                </c:pt>
                <c:pt idx="26">
                  <c:v>1.4073481839306172</c:v>
                </c:pt>
                <c:pt idx="27">
                  <c:v>1.4074779216210864</c:v>
                </c:pt>
                <c:pt idx="28">
                  <c:v>1.4076076593115556</c:v>
                </c:pt>
                <c:pt idx="29">
                  <c:v>1.4076400937341729</c:v>
                </c:pt>
                <c:pt idx="30">
                  <c:v>1.4078347002698766</c:v>
                </c:pt>
                <c:pt idx="31">
                  <c:v>1.4079320035377285</c:v>
                </c:pt>
                <c:pt idx="32">
                  <c:v>1.4082239133412842</c:v>
                </c:pt>
                <c:pt idx="33">
                  <c:v>1.4082887821865189</c:v>
                </c:pt>
                <c:pt idx="34">
                  <c:v>1.4082887821865189</c:v>
                </c:pt>
                <c:pt idx="35">
                  <c:v>1.4106564950375815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BC-4B31-AE7E-B95DFA0AC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534104"/>
        <c:axId val="1"/>
      </c:scatterChart>
      <c:valAx>
        <c:axId val="768534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69243813659094"/>
              <c:y val="0.8322798099604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613384746659752E-2"/>
              <c:y val="0.363924715106814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534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92596913040191"/>
          <c:y val="0.91772284793514725"/>
          <c:w val="0.68107125498201615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47625</xdr:rowOff>
    </xdr:from>
    <xdr:to>
      <xdr:col>19</xdr:col>
      <xdr:colOff>247650</xdr:colOff>
      <xdr:row>18</xdr:row>
      <xdr:rowOff>95250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929980E9-6BD5-D068-8CB8-49D158490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600075</xdr:colOff>
      <xdr:row>20</xdr:row>
      <xdr:rowOff>66675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91A44AAE-E0BF-5204-9D89-8F488D946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21</xdr:row>
      <xdr:rowOff>38099</xdr:rowOff>
    </xdr:from>
    <xdr:to>
      <xdr:col>11</xdr:col>
      <xdr:colOff>571499</xdr:colOff>
      <xdr:row>41</xdr:row>
      <xdr:rowOff>9524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40796DB9-3EDD-536B-3C3A-590BD986D3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2" TargetMode="External"/><Relationship Id="rId13" Type="http://schemas.openxmlformats.org/officeDocument/2006/relationships/hyperlink" Target="http://www.konkoly.hu/cgi-bin/IBVS?5972" TargetMode="External"/><Relationship Id="rId18" Type="http://schemas.openxmlformats.org/officeDocument/2006/relationships/hyperlink" Target="http://www.konkoly.hu/cgi-bin/IBVS?5972" TargetMode="External"/><Relationship Id="rId26" Type="http://schemas.openxmlformats.org/officeDocument/2006/relationships/hyperlink" Target="http://www.konkoly.hu/cgi-bin/IBVS?6014" TargetMode="External"/><Relationship Id="rId3" Type="http://schemas.openxmlformats.org/officeDocument/2006/relationships/hyperlink" Target="http://www.konkoly.hu/cgi-bin/IBVS?4168" TargetMode="External"/><Relationship Id="rId21" Type="http://schemas.openxmlformats.org/officeDocument/2006/relationships/hyperlink" Target="http://www.konkoly.hu/cgi-bin/IBVS?6011" TargetMode="External"/><Relationship Id="rId7" Type="http://schemas.openxmlformats.org/officeDocument/2006/relationships/hyperlink" Target="http://www.konkoly.hu/cgi-bin/IBVS?5357" TargetMode="External"/><Relationship Id="rId12" Type="http://schemas.openxmlformats.org/officeDocument/2006/relationships/hyperlink" Target="http://www.konkoly.hu/cgi-bin/IBVS?5972" TargetMode="External"/><Relationship Id="rId17" Type="http://schemas.openxmlformats.org/officeDocument/2006/relationships/hyperlink" Target="http://www.konkoly.hu/cgi-bin/IBVS?5972" TargetMode="External"/><Relationship Id="rId25" Type="http://schemas.openxmlformats.org/officeDocument/2006/relationships/hyperlink" Target="http://www.konkoly.hu/cgi-bin/IBVS?6014" TargetMode="External"/><Relationship Id="rId2" Type="http://schemas.openxmlformats.org/officeDocument/2006/relationships/hyperlink" Target="http://www.konkoly.hu/cgi-bin/IBVS?4168" TargetMode="External"/><Relationship Id="rId16" Type="http://schemas.openxmlformats.org/officeDocument/2006/relationships/hyperlink" Target="http://www.konkoly.hu/cgi-bin/IBVS?5972" TargetMode="External"/><Relationship Id="rId20" Type="http://schemas.openxmlformats.org/officeDocument/2006/relationships/hyperlink" Target="http://www.konkoly.hu/cgi-bin/IBVS?6014" TargetMode="External"/><Relationship Id="rId1" Type="http://schemas.openxmlformats.org/officeDocument/2006/relationships/hyperlink" Target="http://www.konkoly.hu/cgi-bin/IBVS?4168" TargetMode="External"/><Relationship Id="rId6" Type="http://schemas.openxmlformats.org/officeDocument/2006/relationships/hyperlink" Target="http://www.konkoly.hu/cgi-bin/IBVS?4168" TargetMode="External"/><Relationship Id="rId11" Type="http://schemas.openxmlformats.org/officeDocument/2006/relationships/hyperlink" Target="http://www.konkoly.hu/cgi-bin/IBVS?5910" TargetMode="External"/><Relationship Id="rId24" Type="http://schemas.openxmlformats.org/officeDocument/2006/relationships/hyperlink" Target="http://www.konkoly.hu/cgi-bin/IBVS?6014" TargetMode="External"/><Relationship Id="rId5" Type="http://schemas.openxmlformats.org/officeDocument/2006/relationships/hyperlink" Target="http://www.konkoly.hu/cgi-bin/IBVS?4168" TargetMode="External"/><Relationship Id="rId15" Type="http://schemas.openxmlformats.org/officeDocument/2006/relationships/hyperlink" Target="http://www.konkoly.hu/cgi-bin/IBVS?5972" TargetMode="External"/><Relationship Id="rId23" Type="http://schemas.openxmlformats.org/officeDocument/2006/relationships/hyperlink" Target="http://www.konkoly.hu/cgi-bin/IBVS?6014" TargetMode="External"/><Relationship Id="rId28" Type="http://schemas.openxmlformats.org/officeDocument/2006/relationships/hyperlink" Target="http://www.bav-astro.de/sfs/BAVM_link.php?BAVMnr=231" TargetMode="External"/><Relationship Id="rId10" Type="http://schemas.openxmlformats.org/officeDocument/2006/relationships/hyperlink" Target="http://www.konkoly.hu/cgi-bin/IBVS?5910" TargetMode="External"/><Relationship Id="rId19" Type="http://schemas.openxmlformats.org/officeDocument/2006/relationships/hyperlink" Target="http://www.konkoly.hu/cgi-bin/IBVS?6014" TargetMode="External"/><Relationship Id="rId4" Type="http://schemas.openxmlformats.org/officeDocument/2006/relationships/hyperlink" Target="http://www.konkoly.hu/cgi-bin/IBVS?4168" TargetMode="External"/><Relationship Id="rId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konkoly.hu/cgi-bin/IBVS?5972" TargetMode="External"/><Relationship Id="rId22" Type="http://schemas.openxmlformats.org/officeDocument/2006/relationships/hyperlink" Target="http://www.konkoly.hu/cgi-bin/IBVS?6014" TargetMode="External"/><Relationship Id="rId27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64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5.140625" style="2" customWidth="1"/>
    <col min="3" max="3" width="11.85546875" customWidth="1"/>
    <col min="4" max="4" width="9.42578125" customWidth="1"/>
    <col min="5" max="6" width="9.140625" customWidth="1"/>
    <col min="7" max="7" width="15.8554687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0" customFormat="1" ht="20.25" x14ac:dyDescent="0.2">
      <c r="A1" s="62" t="s">
        <v>45</v>
      </c>
      <c r="B1" s="31"/>
    </row>
    <row r="2" spans="1:7" s="30" customFormat="1" ht="12.95" customHeight="1" x14ac:dyDescent="0.2">
      <c r="A2" s="30" t="s">
        <v>18</v>
      </c>
      <c r="B2" s="31" t="s">
        <v>27</v>
      </c>
      <c r="C2" s="32" t="s">
        <v>25</v>
      </c>
    </row>
    <row r="3" spans="1:7" s="30" customFormat="1" ht="12.95" customHeight="1" thickBot="1" x14ac:dyDescent="0.25">
      <c r="A3" s="30" t="s">
        <v>26</v>
      </c>
      <c r="B3" s="31"/>
    </row>
    <row r="4" spans="1:7" s="30" customFormat="1" ht="12.95" customHeight="1" thickTop="1" thickBot="1" x14ac:dyDescent="0.25">
      <c r="A4" s="33" t="s">
        <v>0</v>
      </c>
      <c r="B4" s="31"/>
      <c r="C4" s="34" t="s">
        <v>12</v>
      </c>
      <c r="D4" s="35" t="s">
        <v>12</v>
      </c>
    </row>
    <row r="5" spans="1:7" s="30" customFormat="1" ht="12.95" customHeight="1" x14ac:dyDescent="0.2">
      <c r="A5" s="36" t="s">
        <v>177</v>
      </c>
      <c r="B5" s="31"/>
      <c r="C5" s="37">
        <v>-9.5</v>
      </c>
    </row>
    <row r="6" spans="1:7" s="30" customFormat="1" ht="12.95" customHeight="1" x14ac:dyDescent="0.2">
      <c r="A6" s="33" t="s">
        <v>1</v>
      </c>
      <c r="B6" s="31"/>
    </row>
    <row r="7" spans="1:7" s="30" customFormat="1" ht="12.95" customHeight="1" x14ac:dyDescent="0.2">
      <c r="A7" s="30" t="s">
        <v>2</v>
      </c>
      <c r="B7" s="31"/>
      <c r="C7" s="30">
        <v>49701.705900000001</v>
      </c>
      <c r="D7" s="30" t="s">
        <v>24</v>
      </c>
    </row>
    <row r="8" spans="1:7" s="30" customFormat="1" ht="12.95" customHeight="1" x14ac:dyDescent="0.2">
      <c r="A8" s="30" t="s">
        <v>3</v>
      </c>
      <c r="B8" s="31"/>
      <c r="C8" s="30">
        <v>8.9884869999999992</v>
      </c>
    </row>
    <row r="9" spans="1:7" s="30" customFormat="1" ht="12.95" customHeight="1" x14ac:dyDescent="0.2">
      <c r="B9" s="31"/>
    </row>
    <row r="10" spans="1:7" s="30" customFormat="1" ht="12.95" customHeight="1" thickBot="1" x14ac:dyDescent="0.25">
      <c r="C10" s="38" t="s">
        <v>37</v>
      </c>
      <c r="D10" s="38" t="s">
        <v>38</v>
      </c>
    </row>
    <row r="11" spans="1:7" s="30" customFormat="1" ht="12.95" customHeight="1" x14ac:dyDescent="0.2">
      <c r="A11" s="30" t="s">
        <v>14</v>
      </c>
      <c r="C11" s="30">
        <f>INTERCEPT(R21:R9926,$F21:$F9926)</f>
        <v>-2.0663423189766807E-3</v>
      </c>
      <c r="D11" s="30">
        <f>INTERCEPT(S21:S9926,$F21:$F9926)</f>
        <v>1.3632373691710931</v>
      </c>
    </row>
    <row r="12" spans="1:7" s="30" customFormat="1" ht="12.95" customHeight="1" x14ac:dyDescent="0.2">
      <c r="A12" s="30" t="s">
        <v>15</v>
      </c>
      <c r="C12" s="30">
        <f>SLOPE(R21:R9926,$F21:$F9926)</f>
        <v>5.7282338381657518E-5</v>
      </c>
      <c r="D12" s="30">
        <f>SLOPE(S21:S9926,$F21:$F9926)</f>
        <v>6.486884523459426E-5</v>
      </c>
    </row>
    <row r="13" spans="1:7" s="30" customFormat="1" ht="12.95" customHeight="1" x14ac:dyDescent="0.2">
      <c r="C13" s="31"/>
      <c r="D13" s="31"/>
      <c r="F13" s="39" t="s">
        <v>171</v>
      </c>
      <c r="G13" s="40">
        <v>1</v>
      </c>
    </row>
    <row r="14" spans="1:7" s="30" customFormat="1" ht="12.95" customHeight="1" x14ac:dyDescent="0.2">
      <c r="A14" s="30" t="s">
        <v>17</v>
      </c>
      <c r="F14" s="39" t="s">
        <v>172</v>
      </c>
      <c r="G14" s="41">
        <f ca="1">NOW()+15018.5+$C$5/24</f>
        <v>60376.80231180555</v>
      </c>
    </row>
    <row r="15" spans="1:7" s="30" customFormat="1" ht="12.95" customHeight="1" x14ac:dyDescent="0.2">
      <c r="A15" s="36" t="s">
        <v>16</v>
      </c>
      <c r="C15" s="41">
        <f>($C7+C11)+($C8+C12)*INT(MAX($F21:$F3460))</f>
        <v>56272.329704047035</v>
      </c>
      <c r="D15" s="41">
        <f>($C7+D11)+($C8+D12)*(INT(MAX($F21:$F3460))+0.5)</f>
        <v>56278.194829429463</v>
      </c>
      <c r="E15" s="42">
        <v>52637.831530000003</v>
      </c>
      <c r="F15" s="39" t="s">
        <v>173</v>
      </c>
      <c r="G15" s="43">
        <f ca="1">ROUND(2*(G14-$C$7)/$C$8,0)/2+G13</f>
        <v>1188.5</v>
      </c>
    </row>
    <row r="16" spans="1:7" s="30" customFormat="1" ht="12.95" customHeight="1" x14ac:dyDescent="0.2">
      <c r="A16" s="33" t="s">
        <v>4</v>
      </c>
      <c r="C16" s="44">
        <f>+$C8+C12</f>
        <v>8.9885442823383812</v>
      </c>
      <c r="D16" s="44">
        <f>+$C8+D12</f>
        <v>8.9885518688452333</v>
      </c>
      <c r="F16" s="39" t="s">
        <v>174</v>
      </c>
      <c r="G16" s="43">
        <f ca="1">ROUND(2*(G14-$C$15)/$C$16,0)/2+G13</f>
        <v>457.5</v>
      </c>
    </row>
    <row r="17" spans="1:27" s="30" customFormat="1" ht="12.95" customHeight="1" thickBot="1" x14ac:dyDescent="0.25">
      <c r="A17" s="30" t="s">
        <v>42</v>
      </c>
      <c r="C17" s="30">
        <f>COUNT(C21:C9926)</f>
        <v>36</v>
      </c>
      <c r="F17" s="39" t="s">
        <v>175</v>
      </c>
      <c r="G17" s="45">
        <f ca="1">+$C$15+$C$16*G16-15018.5-$C$5/24</f>
        <v>45366.484546550178</v>
      </c>
    </row>
    <row r="18" spans="1:27" s="30" customFormat="1" ht="12.95" customHeight="1" thickTop="1" thickBot="1" x14ac:dyDescent="0.25">
      <c r="A18" s="33" t="s">
        <v>43</v>
      </c>
      <c r="C18" s="46">
        <f>+C15</f>
        <v>56272.329704047035</v>
      </c>
      <c r="D18" s="47">
        <f>+C16</f>
        <v>8.9885442823383812</v>
      </c>
      <c r="E18" s="30">
        <f>R19</f>
        <v>20</v>
      </c>
      <c r="G18" s="48" t="s">
        <v>176</v>
      </c>
    </row>
    <row r="19" spans="1:27" s="30" customFormat="1" ht="12.95" customHeight="1" thickBot="1" x14ac:dyDescent="0.25">
      <c r="A19" s="33" t="s">
        <v>44</v>
      </c>
      <c r="C19" s="49">
        <f>D15</f>
        <v>56278.194829429463</v>
      </c>
      <c r="D19" s="50">
        <f>D16</f>
        <v>8.9885518688452333</v>
      </c>
      <c r="E19" s="30">
        <f>S19</f>
        <v>15</v>
      </c>
      <c r="R19" s="31">
        <f>COUNT(R21:R332)</f>
        <v>20</v>
      </c>
      <c r="S19" s="31">
        <f>COUNT(S21:S332)</f>
        <v>15</v>
      </c>
    </row>
    <row r="20" spans="1:27" s="30" customFormat="1" ht="12.95" customHeight="1" thickBot="1" x14ac:dyDescent="0.25">
      <c r="A20" s="38" t="s">
        <v>5</v>
      </c>
      <c r="B20" s="38" t="s">
        <v>6</v>
      </c>
      <c r="C20" s="38" t="s">
        <v>7</v>
      </c>
      <c r="D20" s="38" t="s">
        <v>11</v>
      </c>
      <c r="E20" s="38" t="s">
        <v>8</v>
      </c>
      <c r="F20" s="38" t="s">
        <v>9</v>
      </c>
      <c r="G20" s="38" t="s">
        <v>10</v>
      </c>
      <c r="H20" s="51" t="s">
        <v>36</v>
      </c>
      <c r="I20" s="51" t="s">
        <v>48</v>
      </c>
      <c r="J20" s="51" t="s">
        <v>58</v>
      </c>
      <c r="K20" s="51" t="s">
        <v>56</v>
      </c>
      <c r="L20" s="51" t="s">
        <v>19</v>
      </c>
      <c r="M20" s="51" t="s">
        <v>20</v>
      </c>
      <c r="N20" s="51" t="s">
        <v>21</v>
      </c>
      <c r="O20" s="51" t="s">
        <v>40</v>
      </c>
      <c r="P20" s="52" t="s">
        <v>41</v>
      </c>
      <c r="Q20" s="38" t="s">
        <v>13</v>
      </c>
      <c r="R20" s="53" t="s">
        <v>37</v>
      </c>
      <c r="S20" s="53" t="s">
        <v>38</v>
      </c>
    </row>
    <row r="21" spans="1:27" s="30" customFormat="1" ht="12.95" customHeight="1" x14ac:dyDescent="0.2">
      <c r="A21" s="30" t="s">
        <v>23</v>
      </c>
      <c r="B21" s="31"/>
      <c r="C21" s="54">
        <v>49602.845999999998</v>
      </c>
      <c r="D21" s="54"/>
      <c r="E21" s="30">
        <f t="shared" ref="E21:E56" si="0">+(C21-C$7)/C$8</f>
        <v>-10.998502862606701</v>
      </c>
      <c r="F21" s="30">
        <f t="shared" ref="F21:F56" si="1">ROUND(2*E21,0)/2</f>
        <v>-11</v>
      </c>
      <c r="G21" s="30">
        <f t="shared" ref="G21:G56" si="2">+C21-(C$7+F21*C$8)</f>
        <v>1.3456999993650243E-2</v>
      </c>
      <c r="H21" s="30">
        <f>G21</f>
        <v>1.3456999993650243E-2</v>
      </c>
      <c r="O21" s="30">
        <f>+C$11+C$12*$F21</f>
        <v>-2.6964480411749135E-3</v>
      </c>
      <c r="P21" s="30">
        <f>+D$11+D$12*$F21</f>
        <v>1.3625238118735126</v>
      </c>
      <c r="Q21" s="55">
        <f t="shared" ref="Q21:Q56" si="3">+C21-15018.5</f>
        <v>34584.345999999998</v>
      </c>
      <c r="AA21" s="30" t="s">
        <v>28</v>
      </c>
    </row>
    <row r="22" spans="1:27" s="30" customFormat="1" ht="12.95" customHeight="1" x14ac:dyDescent="0.2">
      <c r="A22" s="5" t="s">
        <v>47</v>
      </c>
      <c r="B22" s="6" t="s">
        <v>34</v>
      </c>
      <c r="C22" s="5">
        <v>49653.631999999998</v>
      </c>
      <c r="D22" s="5" t="s">
        <v>48</v>
      </c>
      <c r="E22" s="30">
        <f t="shared" si="0"/>
        <v>-5.3483862189490905</v>
      </c>
      <c r="F22" s="30">
        <f t="shared" si="1"/>
        <v>-5.5</v>
      </c>
      <c r="G22" s="30">
        <f t="shared" si="2"/>
        <v>1.3627784999989672</v>
      </c>
      <c r="I22" s="30">
        <f>G22</f>
        <v>1.3627784999989672</v>
      </c>
      <c r="O22" s="30">
        <f t="shared" ref="O22:O56" si="4">+C$11+C$12*F22</f>
        <v>-2.3813951800757968E-3</v>
      </c>
      <c r="P22" s="30">
        <f t="shared" ref="P22:P56" si="5">+D$11+D$12*$F22</f>
        <v>1.3628805905223027</v>
      </c>
      <c r="Q22" s="55">
        <f t="shared" si="3"/>
        <v>34635.131999999998</v>
      </c>
      <c r="S22" s="30">
        <f>G22</f>
        <v>1.3627784999989672</v>
      </c>
    </row>
    <row r="23" spans="1:27" s="30" customFormat="1" ht="12.95" customHeight="1" x14ac:dyDescent="0.2">
      <c r="A23" s="10" t="s">
        <v>23</v>
      </c>
      <c r="B23" s="6"/>
      <c r="C23" s="5">
        <v>49656.762000000002</v>
      </c>
      <c r="D23" s="5"/>
      <c r="E23" s="30">
        <f t="shared" si="0"/>
        <v>-5.0001629862732626</v>
      </c>
      <c r="F23" s="30">
        <f t="shared" si="1"/>
        <v>-5</v>
      </c>
      <c r="G23" s="30">
        <f t="shared" si="2"/>
        <v>-1.4650000011897646E-3</v>
      </c>
      <c r="I23" s="30">
        <f>G23</f>
        <v>-1.4650000011897646E-3</v>
      </c>
      <c r="O23" s="30">
        <f t="shared" si="4"/>
        <v>-2.3527540108849681E-3</v>
      </c>
      <c r="P23" s="30">
        <f t="shared" si="5"/>
        <v>1.3629130249449202</v>
      </c>
      <c r="Q23" s="55">
        <f t="shared" si="3"/>
        <v>34638.262000000002</v>
      </c>
      <c r="R23" s="30">
        <f>G23</f>
        <v>-1.4650000011897646E-3</v>
      </c>
      <c r="AA23" s="30" t="s">
        <v>29</v>
      </c>
    </row>
    <row r="24" spans="1:27" s="30" customFormat="1" ht="12.95" customHeight="1" x14ac:dyDescent="0.2">
      <c r="A24" s="5" t="s">
        <v>47</v>
      </c>
      <c r="B24" s="6" t="s">
        <v>34</v>
      </c>
      <c r="C24" s="5">
        <v>49680.597000000002</v>
      </c>
      <c r="D24" s="5" t="s">
        <v>48</v>
      </c>
      <c r="E24" s="30">
        <f t="shared" si="0"/>
        <v>-2.3484375067794243</v>
      </c>
      <c r="F24" s="30">
        <f t="shared" si="1"/>
        <v>-2.5</v>
      </c>
      <c r="G24" s="30">
        <f t="shared" si="2"/>
        <v>1.3623175000029732</v>
      </c>
      <c r="I24" s="30">
        <f>G24</f>
        <v>1.3623175000029732</v>
      </c>
      <c r="O24" s="30">
        <f t="shared" si="4"/>
        <v>-2.2095481649308246E-3</v>
      </c>
      <c r="P24" s="30">
        <f t="shared" si="5"/>
        <v>1.3630751970580066</v>
      </c>
      <c r="Q24" s="55">
        <f t="shared" si="3"/>
        <v>34662.097000000002</v>
      </c>
      <c r="S24" s="30">
        <f>G24</f>
        <v>1.3623175000029732</v>
      </c>
    </row>
    <row r="25" spans="1:27" s="30" customFormat="1" ht="12.95" customHeight="1" x14ac:dyDescent="0.2">
      <c r="A25" s="10" t="s">
        <v>23</v>
      </c>
      <c r="B25" s="6"/>
      <c r="C25" s="5">
        <v>49683.726999999999</v>
      </c>
      <c r="D25" s="5"/>
      <c r="E25" s="30">
        <f t="shared" si="0"/>
        <v>-2.0002142741044056</v>
      </c>
      <c r="F25" s="30">
        <f t="shared" si="1"/>
        <v>-2</v>
      </c>
      <c r="G25" s="30">
        <f t="shared" si="2"/>
        <v>-1.9260000044596381E-3</v>
      </c>
      <c r="I25" s="30">
        <f>G25</f>
        <v>-1.9260000044596381E-3</v>
      </c>
      <c r="O25" s="30">
        <f t="shared" si="4"/>
        <v>-2.1809069957399955E-3</v>
      </c>
      <c r="P25" s="30">
        <f t="shared" si="5"/>
        <v>1.3631076314806239</v>
      </c>
      <c r="Q25" s="55">
        <f t="shared" si="3"/>
        <v>34665.226999999999</v>
      </c>
      <c r="R25" s="30">
        <f>G25</f>
        <v>-1.9260000044596381E-3</v>
      </c>
      <c r="AA25" s="30" t="s">
        <v>29</v>
      </c>
    </row>
    <row r="26" spans="1:27" s="30" customFormat="1" ht="12.95" customHeight="1" x14ac:dyDescent="0.2">
      <c r="A26" s="10" t="s">
        <v>23</v>
      </c>
      <c r="B26" s="6"/>
      <c r="C26" s="5">
        <v>49701.706100000003</v>
      </c>
      <c r="D26" s="5"/>
      <c r="E26" s="30">
        <f t="shared" si="0"/>
        <v>2.2250686041325161E-5</v>
      </c>
      <c r="F26" s="30">
        <f t="shared" si="1"/>
        <v>0</v>
      </c>
      <c r="G26" s="30">
        <f t="shared" si="2"/>
        <v>2.0000000222353265E-4</v>
      </c>
      <c r="I26" s="30">
        <f>G26</f>
        <v>2.0000000222353265E-4</v>
      </c>
      <c r="O26" s="30">
        <f t="shared" si="4"/>
        <v>-2.0663423189766807E-3</v>
      </c>
      <c r="P26" s="30">
        <f t="shared" si="5"/>
        <v>1.3632373691710931</v>
      </c>
      <c r="Q26" s="55">
        <f t="shared" si="3"/>
        <v>34683.206100000003</v>
      </c>
      <c r="R26" s="30">
        <f>G26</f>
        <v>2.0000000222353265E-4</v>
      </c>
      <c r="AA26" s="30" t="s">
        <v>30</v>
      </c>
    </row>
    <row r="27" spans="1:27" s="30" customFormat="1" ht="12.95" customHeight="1" x14ac:dyDescent="0.2">
      <c r="A27" s="5" t="s">
        <v>47</v>
      </c>
      <c r="B27" s="6" t="s">
        <v>34</v>
      </c>
      <c r="C27" s="5">
        <v>49707.564899999998</v>
      </c>
      <c r="D27" s="5">
        <v>1.8E-3</v>
      </c>
      <c r="E27" s="30">
        <f t="shared" si="0"/>
        <v>0.65183384033338876</v>
      </c>
      <c r="F27" s="30">
        <f t="shared" si="1"/>
        <v>0.5</v>
      </c>
      <c r="G27" s="30">
        <f t="shared" si="2"/>
        <v>1.3647564999992028</v>
      </c>
      <c r="I27" s="30">
        <f>G27</f>
        <v>1.3647564999992028</v>
      </c>
      <c r="O27" s="30">
        <f t="shared" si="4"/>
        <v>-2.037701149785852E-3</v>
      </c>
      <c r="P27" s="30">
        <f t="shared" si="5"/>
        <v>1.3632698035937103</v>
      </c>
      <c r="Q27" s="55">
        <f t="shared" si="3"/>
        <v>34689.064899999998</v>
      </c>
      <c r="S27" s="30">
        <f>G27</f>
        <v>1.3647564999992028</v>
      </c>
    </row>
    <row r="28" spans="1:27" s="30" customFormat="1" ht="12.95" customHeight="1" x14ac:dyDescent="0.2">
      <c r="A28" s="10" t="s">
        <v>23</v>
      </c>
      <c r="B28" s="6"/>
      <c r="C28" s="5">
        <v>49710.695</v>
      </c>
      <c r="D28" s="5"/>
      <c r="E28" s="30">
        <f t="shared" si="0"/>
        <v>1.0000681983518329</v>
      </c>
      <c r="F28" s="30">
        <f t="shared" si="1"/>
        <v>1</v>
      </c>
      <c r="G28" s="30">
        <f t="shared" si="2"/>
        <v>6.1299999651964754E-4</v>
      </c>
      <c r="J28" s="30">
        <f>G28</f>
        <v>6.1299999651964754E-4</v>
      </c>
      <c r="O28" s="30">
        <f t="shared" si="4"/>
        <v>-2.0090599805950233E-3</v>
      </c>
      <c r="P28" s="30">
        <f t="shared" si="5"/>
        <v>1.3633022380163275</v>
      </c>
      <c r="Q28" s="55">
        <f t="shared" si="3"/>
        <v>34692.195</v>
      </c>
      <c r="R28" s="30">
        <f>G28</f>
        <v>6.1299999651964754E-4</v>
      </c>
      <c r="AA28" s="30" t="s">
        <v>31</v>
      </c>
    </row>
    <row r="29" spans="1:27" s="30" customFormat="1" ht="12.95" customHeight="1" x14ac:dyDescent="0.2">
      <c r="A29" s="10" t="s">
        <v>23</v>
      </c>
      <c r="B29" s="6"/>
      <c r="C29" s="5">
        <v>49755.635499999997</v>
      </c>
      <c r="D29" s="5"/>
      <c r="E29" s="30">
        <f t="shared" si="0"/>
        <v>5.9998529229664399</v>
      </c>
      <c r="F29" s="30">
        <f t="shared" si="1"/>
        <v>6</v>
      </c>
      <c r="G29" s="30">
        <f t="shared" si="2"/>
        <v>-1.3220000037108548E-3</v>
      </c>
      <c r="I29" s="30">
        <f>G29</f>
        <v>-1.3220000037108548E-3</v>
      </c>
      <c r="O29" s="30">
        <f t="shared" si="4"/>
        <v>-1.7226482886867356E-3</v>
      </c>
      <c r="P29" s="30">
        <f t="shared" si="5"/>
        <v>1.3636265822425007</v>
      </c>
      <c r="Q29" s="55">
        <f t="shared" si="3"/>
        <v>34737.135499999997</v>
      </c>
      <c r="R29" s="30">
        <f>G29</f>
        <v>-1.3220000037108548E-3</v>
      </c>
      <c r="AA29" s="30" t="s">
        <v>31</v>
      </c>
    </row>
    <row r="30" spans="1:27" s="30" customFormat="1" ht="12.95" customHeight="1" x14ac:dyDescent="0.2">
      <c r="A30" s="10" t="s">
        <v>23</v>
      </c>
      <c r="B30" s="6"/>
      <c r="C30" s="5">
        <v>50456.739300000001</v>
      </c>
      <c r="D30" s="5"/>
      <c r="E30" s="30">
        <f t="shared" si="0"/>
        <v>84.00005473668709</v>
      </c>
      <c r="F30" s="30">
        <f t="shared" si="1"/>
        <v>84</v>
      </c>
      <c r="G30" s="30">
        <f t="shared" si="2"/>
        <v>4.9199999921256676E-4</v>
      </c>
      <c r="I30" s="30">
        <f>G30</f>
        <v>4.9199999921256676E-4</v>
      </c>
      <c r="O30" s="30">
        <f t="shared" si="4"/>
        <v>2.7453741050825504E-3</v>
      </c>
      <c r="P30" s="30">
        <f t="shared" si="5"/>
        <v>1.368686352170799</v>
      </c>
      <c r="Q30" s="55">
        <f t="shared" si="3"/>
        <v>35438.239300000001</v>
      </c>
      <c r="R30" s="30">
        <f>G30</f>
        <v>4.9199999921256676E-4</v>
      </c>
      <c r="AA30" s="30" t="s">
        <v>32</v>
      </c>
    </row>
    <row r="31" spans="1:27" s="30" customFormat="1" ht="12.95" customHeight="1" x14ac:dyDescent="0.2">
      <c r="A31" s="10" t="s">
        <v>23</v>
      </c>
      <c r="B31" s="6"/>
      <c r="C31" s="5">
        <v>50474.715600000003</v>
      </c>
      <c r="D31" s="5"/>
      <c r="E31" s="30">
        <f t="shared" si="0"/>
        <v>85.999979751876197</v>
      </c>
      <c r="F31" s="30">
        <f t="shared" si="1"/>
        <v>86</v>
      </c>
      <c r="G31" s="30">
        <f t="shared" si="2"/>
        <v>-1.8199999612988904E-4</v>
      </c>
      <c r="I31" s="30">
        <f>G31</f>
        <v>-1.8199999612988904E-4</v>
      </c>
      <c r="O31" s="30">
        <f t="shared" si="4"/>
        <v>2.8599387818458661E-3</v>
      </c>
      <c r="P31" s="30">
        <f t="shared" si="5"/>
        <v>1.3688160898612682</v>
      </c>
      <c r="Q31" s="55">
        <f t="shared" si="3"/>
        <v>35456.215600000003</v>
      </c>
      <c r="R31" s="30">
        <f>G31</f>
        <v>-1.8199999612988904E-4</v>
      </c>
      <c r="AA31" s="30" t="s">
        <v>33</v>
      </c>
    </row>
    <row r="32" spans="1:27" s="30" customFormat="1" ht="12.95" customHeight="1" x14ac:dyDescent="0.2">
      <c r="A32" s="56" t="s">
        <v>95</v>
      </c>
      <c r="B32" s="57" t="s">
        <v>34</v>
      </c>
      <c r="C32" s="58">
        <v>52601.8776</v>
      </c>
      <c r="D32" s="54"/>
      <c r="E32" s="30">
        <f t="shared" si="0"/>
        <v>322.65404622602216</v>
      </c>
      <c r="F32" s="30">
        <f t="shared" si="1"/>
        <v>322.5</v>
      </c>
      <c r="G32" s="30">
        <f t="shared" si="2"/>
        <v>1.384642500001064</v>
      </c>
      <c r="I32" s="30">
        <f t="shared" ref="I32:I56" si="6">G32</f>
        <v>1.384642500001064</v>
      </c>
      <c r="O32" s="30">
        <f t="shared" si="4"/>
        <v>1.6407211809107869E-2</v>
      </c>
      <c r="P32" s="30">
        <f t="shared" si="5"/>
        <v>1.3841575717592498</v>
      </c>
      <c r="Q32" s="55">
        <f t="shared" si="3"/>
        <v>37583.3776</v>
      </c>
      <c r="S32" s="30">
        <f>G32</f>
        <v>1.384642500001064</v>
      </c>
    </row>
    <row r="33" spans="1:19" s="30" customFormat="1" ht="12.95" customHeight="1" x14ac:dyDescent="0.2">
      <c r="A33" s="10" t="s">
        <v>22</v>
      </c>
      <c r="B33" s="6"/>
      <c r="C33" s="5">
        <v>52601.877639999999</v>
      </c>
      <c r="D33" s="5">
        <v>1.3999999999999999E-4</v>
      </c>
      <c r="E33" s="30">
        <f t="shared" si="0"/>
        <v>322.65405067615922</v>
      </c>
      <c r="F33" s="59">
        <f t="shared" si="1"/>
        <v>322.5</v>
      </c>
      <c r="G33" s="30">
        <f t="shared" si="2"/>
        <v>1.3846825000000536</v>
      </c>
      <c r="K33" s="30">
        <f>G33</f>
        <v>1.3846825000000536</v>
      </c>
      <c r="O33" s="30">
        <f t="shared" si="4"/>
        <v>1.6407211809107869E-2</v>
      </c>
      <c r="P33" s="30">
        <f t="shared" si="5"/>
        <v>1.3841575717592498</v>
      </c>
      <c r="Q33" s="55">
        <f t="shared" si="3"/>
        <v>37583.377639999999</v>
      </c>
      <c r="S33" s="30">
        <f>G33</f>
        <v>1.3846825000000536</v>
      </c>
    </row>
    <row r="34" spans="1:19" s="30" customFormat="1" ht="12.95" customHeight="1" x14ac:dyDescent="0.2">
      <c r="A34" s="10" t="s">
        <v>35</v>
      </c>
      <c r="B34" s="60" t="s">
        <v>34</v>
      </c>
      <c r="C34" s="5">
        <v>52628.842900000003</v>
      </c>
      <c r="D34" s="5">
        <v>2.9999999999999997E-4</v>
      </c>
      <c r="E34" s="30">
        <f t="shared" si="0"/>
        <v>325.65402831422045</v>
      </c>
      <c r="F34" s="30">
        <f t="shared" si="1"/>
        <v>325.5</v>
      </c>
      <c r="G34" s="30">
        <f t="shared" si="2"/>
        <v>1.3844815000047674</v>
      </c>
      <c r="K34" s="30">
        <f>G34</f>
        <v>1.3844815000047674</v>
      </c>
      <c r="O34" s="30">
        <f t="shared" si="4"/>
        <v>1.657905882425284E-2</v>
      </c>
      <c r="P34" s="30">
        <f t="shared" si="5"/>
        <v>1.3843521782949535</v>
      </c>
      <c r="Q34" s="55">
        <f t="shared" si="3"/>
        <v>37610.342900000003</v>
      </c>
      <c r="S34" s="30">
        <f>G34</f>
        <v>1.3844815000047674</v>
      </c>
    </row>
    <row r="35" spans="1:19" s="30" customFormat="1" ht="12.95" customHeight="1" x14ac:dyDescent="0.2">
      <c r="A35" s="10" t="s">
        <v>35</v>
      </c>
      <c r="B35" s="60" t="s">
        <v>34</v>
      </c>
      <c r="C35" s="5">
        <v>52637.831530000003</v>
      </c>
      <c r="D35" s="5">
        <v>2.1000000000000001E-4</v>
      </c>
      <c r="E35" s="30">
        <f t="shared" si="0"/>
        <v>326.6540442234608</v>
      </c>
      <c r="F35" s="30">
        <f t="shared" si="1"/>
        <v>326.5</v>
      </c>
      <c r="G35" s="30">
        <f t="shared" si="2"/>
        <v>1.3846245000022464</v>
      </c>
      <c r="K35" s="30">
        <f>G35</f>
        <v>1.3846245000022464</v>
      </c>
      <c r="O35" s="30">
        <f t="shared" si="4"/>
        <v>1.6636341162634499E-2</v>
      </c>
      <c r="P35" s="30">
        <f t="shared" si="5"/>
        <v>1.384417047140188</v>
      </c>
      <c r="Q35" s="55">
        <f t="shared" si="3"/>
        <v>37619.331530000003</v>
      </c>
      <c r="S35" s="30">
        <f>G35</f>
        <v>1.3846245000022464</v>
      </c>
    </row>
    <row r="36" spans="1:19" s="30" customFormat="1" ht="12.95" customHeight="1" x14ac:dyDescent="0.2">
      <c r="A36" s="10" t="s">
        <v>39</v>
      </c>
      <c r="B36" s="6" t="s">
        <v>34</v>
      </c>
      <c r="C36" s="61">
        <v>52997.370799999997</v>
      </c>
      <c r="D36" s="61">
        <v>2.7000000000000001E-3</v>
      </c>
      <c r="E36" s="30">
        <f t="shared" si="0"/>
        <v>366.65402086024005</v>
      </c>
      <c r="F36" s="30">
        <f t="shared" si="1"/>
        <v>366.5</v>
      </c>
      <c r="G36" s="30">
        <f t="shared" si="2"/>
        <v>1.3844144999966375</v>
      </c>
      <c r="K36" s="30">
        <f>G36</f>
        <v>1.3844144999966375</v>
      </c>
      <c r="O36" s="30">
        <f t="shared" si="4"/>
        <v>1.8927634697900798E-2</v>
      </c>
      <c r="P36" s="30">
        <f t="shared" si="5"/>
        <v>1.3870118009495718</v>
      </c>
      <c r="Q36" s="55">
        <f t="shared" si="3"/>
        <v>37978.870799999997</v>
      </c>
      <c r="S36" s="30">
        <f>G36</f>
        <v>1.3844144999966375</v>
      </c>
    </row>
    <row r="37" spans="1:19" x14ac:dyDescent="0.2">
      <c r="A37" s="10" t="s">
        <v>46</v>
      </c>
      <c r="B37" s="9"/>
      <c r="C37" s="8">
        <v>53045.440600000002</v>
      </c>
      <c r="D37" s="8">
        <v>3.5000000000000001E-3</v>
      </c>
      <c r="E37">
        <f t="shared" si="0"/>
        <v>372.00195094013054</v>
      </c>
      <c r="F37">
        <f t="shared" si="1"/>
        <v>372</v>
      </c>
      <c r="G37">
        <f t="shared" si="2"/>
        <v>1.7535999999381602E-2</v>
      </c>
      <c r="K37">
        <f>G37</f>
        <v>1.7535999999381602E-2</v>
      </c>
      <c r="O37">
        <f t="shared" si="4"/>
        <v>1.9242687558999917E-2</v>
      </c>
      <c r="P37">
        <f t="shared" si="5"/>
        <v>1.3873685795983621</v>
      </c>
      <c r="Q37" s="1">
        <f t="shared" si="3"/>
        <v>38026.940600000002</v>
      </c>
      <c r="R37">
        <f>G37</f>
        <v>1.7535999999381602E-2</v>
      </c>
    </row>
    <row r="38" spans="1:19" x14ac:dyDescent="0.2">
      <c r="A38" s="27" t="s">
        <v>110</v>
      </c>
      <c r="B38" s="28" t="s">
        <v>50</v>
      </c>
      <c r="C38" s="29">
        <v>54438.664499999999</v>
      </c>
      <c r="D38" s="4"/>
      <c r="E38">
        <f t="shared" si="0"/>
        <v>527.002887137735</v>
      </c>
      <c r="F38">
        <f t="shared" si="1"/>
        <v>527</v>
      </c>
      <c r="G38">
        <f t="shared" si="2"/>
        <v>2.5950999995984603E-2</v>
      </c>
      <c r="K38">
        <f>G38</f>
        <v>2.5950999995984603E-2</v>
      </c>
      <c r="O38">
        <f t="shared" si="4"/>
        <v>2.8121450008156832E-2</v>
      </c>
      <c r="P38">
        <f t="shared" si="5"/>
        <v>1.3974232506097242</v>
      </c>
      <c r="Q38" s="1">
        <f t="shared" si="3"/>
        <v>39420.164499999999</v>
      </c>
      <c r="R38">
        <f>G38</f>
        <v>2.5950999995984603E-2</v>
      </c>
    </row>
    <row r="39" spans="1:19" x14ac:dyDescent="0.2">
      <c r="A39" s="27" t="s">
        <v>110</v>
      </c>
      <c r="B39" s="28" t="s">
        <v>50</v>
      </c>
      <c r="C39" s="29">
        <v>54447.654399999999</v>
      </c>
      <c r="D39" s="4"/>
      <c r="E39">
        <f t="shared" si="0"/>
        <v>528.00304433883025</v>
      </c>
      <c r="F39">
        <f t="shared" si="1"/>
        <v>528</v>
      </c>
      <c r="G39">
        <f t="shared" si="2"/>
        <v>2.7364000001398381E-2</v>
      </c>
      <c r="K39">
        <f>G39</f>
        <v>2.7364000001398381E-2</v>
      </c>
      <c r="O39">
        <f t="shared" si="4"/>
        <v>2.8178732346538487E-2</v>
      </c>
      <c r="P39">
        <f t="shared" si="5"/>
        <v>1.3974881194549589</v>
      </c>
      <c r="Q39" s="1">
        <f t="shared" si="3"/>
        <v>39429.154399999999</v>
      </c>
      <c r="R39">
        <f>G39</f>
        <v>2.7364000001398381E-2</v>
      </c>
    </row>
    <row r="40" spans="1:19" ht="12.75" customHeight="1" x14ac:dyDescent="0.2">
      <c r="A40" s="27" t="s">
        <v>117</v>
      </c>
      <c r="B40" s="28" t="s">
        <v>50</v>
      </c>
      <c r="C40" s="29">
        <v>55157.749400000001</v>
      </c>
      <c r="D40" s="4"/>
      <c r="E40">
        <f t="shared" si="0"/>
        <v>607.00354798310332</v>
      </c>
      <c r="F40">
        <f t="shared" si="1"/>
        <v>607</v>
      </c>
      <c r="G40">
        <f t="shared" si="2"/>
        <v>3.1890999998722691E-2</v>
      </c>
      <c r="K40">
        <f>G40</f>
        <v>3.1890999998722691E-2</v>
      </c>
      <c r="O40">
        <f t="shared" si="4"/>
        <v>3.2704037078689435E-2</v>
      </c>
      <c r="P40">
        <f t="shared" si="5"/>
        <v>1.4026127582284917</v>
      </c>
      <c r="Q40" s="1">
        <f t="shared" si="3"/>
        <v>40139.249400000001</v>
      </c>
      <c r="R40">
        <f>G40</f>
        <v>3.1890999998722691E-2</v>
      </c>
    </row>
    <row r="41" spans="1:19" x14ac:dyDescent="0.2">
      <c r="A41" s="27" t="s">
        <v>117</v>
      </c>
      <c r="B41" s="28" t="s">
        <v>50</v>
      </c>
      <c r="C41" s="29">
        <v>55175.7281</v>
      </c>
      <c r="D41" s="4"/>
      <c r="E41">
        <f t="shared" si="0"/>
        <v>609.00374000652164</v>
      </c>
      <c r="F41">
        <f t="shared" si="1"/>
        <v>609</v>
      </c>
      <c r="G41">
        <f t="shared" si="2"/>
        <v>3.3617000000958797E-2</v>
      </c>
      <c r="K41">
        <f>G41</f>
        <v>3.3617000000958797E-2</v>
      </c>
      <c r="O41">
        <f t="shared" si="4"/>
        <v>3.2818601755452745E-2</v>
      </c>
      <c r="P41">
        <f t="shared" si="5"/>
        <v>1.4027424959189609</v>
      </c>
      <c r="Q41" s="1">
        <f t="shared" si="3"/>
        <v>40157.2281</v>
      </c>
      <c r="R41">
        <f>G41</f>
        <v>3.3617000000958797E-2</v>
      </c>
    </row>
    <row r="42" spans="1:19" x14ac:dyDescent="0.2">
      <c r="A42" s="27" t="s">
        <v>117</v>
      </c>
      <c r="B42" s="28" t="s">
        <v>34</v>
      </c>
      <c r="C42" s="29">
        <v>55181.590400000001</v>
      </c>
      <c r="D42" s="4"/>
      <c r="E42">
        <f t="shared" si="0"/>
        <v>609.65594098317115</v>
      </c>
      <c r="F42">
        <f t="shared" si="1"/>
        <v>609.5</v>
      </c>
      <c r="G42">
        <f t="shared" si="2"/>
        <v>1.4016735000041081</v>
      </c>
      <c r="K42">
        <f>G42</f>
        <v>1.4016735000041081</v>
      </c>
      <c r="O42">
        <f t="shared" si="4"/>
        <v>3.2847242924643583E-2</v>
      </c>
      <c r="P42">
        <f t="shared" si="5"/>
        <v>1.4027749303415782</v>
      </c>
      <c r="Q42" s="1">
        <f t="shared" si="3"/>
        <v>40163.090400000001</v>
      </c>
      <c r="S42">
        <f>G42</f>
        <v>1.4016735000041081</v>
      </c>
    </row>
    <row r="43" spans="1:19" x14ac:dyDescent="0.2">
      <c r="A43" s="27" t="s">
        <v>117</v>
      </c>
      <c r="B43" s="28" t="s">
        <v>50</v>
      </c>
      <c r="C43" s="29">
        <v>55202.690300000002</v>
      </c>
      <c r="D43" s="4"/>
      <c r="E43">
        <f t="shared" si="0"/>
        <v>612.00337720908999</v>
      </c>
      <c r="F43">
        <f t="shared" si="1"/>
        <v>612</v>
      </c>
      <c r="G43">
        <f t="shared" si="2"/>
        <v>3.0356000002939254E-2</v>
      </c>
      <c r="K43">
        <f>G43</f>
        <v>3.0356000002939254E-2</v>
      </c>
      <c r="O43">
        <f t="shared" si="4"/>
        <v>3.2990448770597716E-2</v>
      </c>
      <c r="P43">
        <f t="shared" si="5"/>
        <v>1.4029371024546649</v>
      </c>
      <c r="Q43" s="1">
        <f t="shared" si="3"/>
        <v>40184.190300000002</v>
      </c>
      <c r="R43">
        <f>G43</f>
        <v>3.0356000002939254E-2</v>
      </c>
    </row>
    <row r="44" spans="1:19" x14ac:dyDescent="0.2">
      <c r="A44" s="27" t="s">
        <v>117</v>
      </c>
      <c r="B44" s="28" t="s">
        <v>34</v>
      </c>
      <c r="C44" s="29">
        <v>55208.5573</v>
      </c>
      <c r="D44" s="4"/>
      <c r="E44">
        <f t="shared" si="0"/>
        <v>612.65610107685529</v>
      </c>
      <c r="F44">
        <f t="shared" si="1"/>
        <v>612.5</v>
      </c>
      <c r="G44">
        <f t="shared" si="2"/>
        <v>1.4031125000037719</v>
      </c>
      <c r="K44">
        <f>G44</f>
        <v>1.4031125000037719</v>
      </c>
      <c r="O44">
        <f t="shared" si="4"/>
        <v>3.3019089939788554E-2</v>
      </c>
      <c r="P44">
        <f t="shared" si="5"/>
        <v>1.4029695368772821</v>
      </c>
      <c r="Q44" s="1">
        <f t="shared" si="3"/>
        <v>40190.0573</v>
      </c>
      <c r="S44">
        <f>G44</f>
        <v>1.4031125000037719</v>
      </c>
    </row>
    <row r="45" spans="1:19" x14ac:dyDescent="0.2">
      <c r="A45" s="27" t="s">
        <v>117</v>
      </c>
      <c r="B45" s="28" t="s">
        <v>50</v>
      </c>
      <c r="C45" s="29">
        <v>55247.636700000003</v>
      </c>
      <c r="D45" s="4"/>
      <c r="E45">
        <f t="shared" si="0"/>
        <v>617.00381832893595</v>
      </c>
      <c r="F45">
        <f t="shared" si="1"/>
        <v>617</v>
      </c>
      <c r="G45">
        <f t="shared" si="2"/>
        <v>3.4320999999181367E-2</v>
      </c>
      <c r="K45">
        <f>G45</f>
        <v>3.4320999999181367E-2</v>
      </c>
      <c r="O45">
        <f t="shared" si="4"/>
        <v>3.3276860462506011E-2</v>
      </c>
      <c r="P45">
        <f t="shared" si="5"/>
        <v>1.4032614466808377</v>
      </c>
      <c r="Q45" s="1">
        <f t="shared" si="3"/>
        <v>40229.136700000003</v>
      </c>
      <c r="R45">
        <f>G45</f>
        <v>3.4320999999181367E-2</v>
      </c>
    </row>
    <row r="46" spans="1:19" x14ac:dyDescent="0.2">
      <c r="A46" s="27" t="s">
        <v>117</v>
      </c>
      <c r="B46" s="28" t="s">
        <v>50</v>
      </c>
      <c r="C46" s="29">
        <v>55274.6011</v>
      </c>
      <c r="D46" s="4"/>
      <c r="E46">
        <f t="shared" si="0"/>
        <v>620.00370028904752</v>
      </c>
      <c r="F46">
        <f t="shared" si="1"/>
        <v>620</v>
      </c>
      <c r="G46">
        <f t="shared" si="2"/>
        <v>3.3259999996516854E-2</v>
      </c>
      <c r="K46">
        <f>G46</f>
        <v>3.3259999996516854E-2</v>
      </c>
      <c r="O46">
        <f t="shared" si="4"/>
        <v>3.3448707477650982E-2</v>
      </c>
      <c r="P46">
        <f t="shared" si="5"/>
        <v>1.4034560532165414</v>
      </c>
      <c r="Q46" s="1">
        <f t="shared" si="3"/>
        <v>40256.1011</v>
      </c>
      <c r="R46">
        <f>G46</f>
        <v>3.3259999996516854E-2</v>
      </c>
    </row>
    <row r="47" spans="1:19" x14ac:dyDescent="0.2">
      <c r="A47" s="5" t="s">
        <v>51</v>
      </c>
      <c r="B47" s="6" t="s">
        <v>50</v>
      </c>
      <c r="C47" s="5">
        <v>55813.914700000001</v>
      </c>
      <c r="D47" s="5">
        <v>4.0000000000000002E-4</v>
      </c>
      <c r="E47">
        <f t="shared" si="0"/>
        <v>680.00418757906652</v>
      </c>
      <c r="F47">
        <f t="shared" si="1"/>
        <v>680</v>
      </c>
      <c r="G47">
        <f t="shared" si="2"/>
        <v>3.7640000002284069E-2</v>
      </c>
      <c r="K47">
        <f>G47</f>
        <v>3.7640000002284069E-2</v>
      </c>
      <c r="O47">
        <f t="shared" si="4"/>
        <v>3.6885647780550437E-2</v>
      </c>
      <c r="P47">
        <f t="shared" si="5"/>
        <v>1.4073481839306172</v>
      </c>
      <c r="Q47" s="1">
        <f t="shared" si="3"/>
        <v>40795.414700000001</v>
      </c>
      <c r="R47">
        <f>G47</f>
        <v>3.7640000002284069E-2</v>
      </c>
    </row>
    <row r="48" spans="1:19" x14ac:dyDescent="0.2">
      <c r="A48" s="5" t="s">
        <v>51</v>
      </c>
      <c r="B48" s="6" t="s">
        <v>50</v>
      </c>
      <c r="C48" s="5">
        <v>55831.891799999998</v>
      </c>
      <c r="D48" s="5">
        <v>2.0000000000000001E-4</v>
      </c>
      <c r="E48">
        <f t="shared" si="0"/>
        <v>682.0042015969982</v>
      </c>
      <c r="F48">
        <f t="shared" si="1"/>
        <v>682</v>
      </c>
      <c r="G48">
        <f t="shared" si="2"/>
        <v>3.7765999994007871E-2</v>
      </c>
      <c r="K48">
        <f>G48</f>
        <v>3.7765999994007871E-2</v>
      </c>
      <c r="O48">
        <f t="shared" si="4"/>
        <v>3.7000212457313747E-2</v>
      </c>
      <c r="P48">
        <f t="shared" si="5"/>
        <v>1.4074779216210864</v>
      </c>
      <c r="Q48" s="1">
        <f t="shared" si="3"/>
        <v>40813.391799999998</v>
      </c>
      <c r="R48">
        <f>G48</f>
        <v>3.7765999994007871E-2</v>
      </c>
    </row>
    <row r="49" spans="1:19" x14ac:dyDescent="0.2">
      <c r="A49" s="5" t="s">
        <v>49</v>
      </c>
      <c r="B49" s="6" t="s">
        <v>50</v>
      </c>
      <c r="C49" s="5">
        <v>55849.87</v>
      </c>
      <c r="D49" s="5">
        <v>1.4E-3</v>
      </c>
      <c r="E49">
        <f t="shared" si="0"/>
        <v>684.00433799370262</v>
      </c>
      <c r="F49">
        <f t="shared" si="1"/>
        <v>684</v>
      </c>
      <c r="G49">
        <f t="shared" si="2"/>
        <v>3.8992000001599081E-2</v>
      </c>
      <c r="K49">
        <f>G49</f>
        <v>3.8992000001599081E-2</v>
      </c>
      <c r="O49">
        <f t="shared" si="4"/>
        <v>3.7114777134077057E-2</v>
      </c>
      <c r="P49">
        <f t="shared" si="5"/>
        <v>1.4076076593115556</v>
      </c>
      <c r="Q49" s="1">
        <f t="shared" si="3"/>
        <v>40831.370000000003</v>
      </c>
      <c r="R49">
        <f>G49</f>
        <v>3.8992000001599081E-2</v>
      </c>
    </row>
    <row r="50" spans="1:19" x14ac:dyDescent="0.2">
      <c r="A50" s="5" t="s">
        <v>51</v>
      </c>
      <c r="B50" s="6" t="s">
        <v>50</v>
      </c>
      <c r="C50" s="5">
        <v>55855.733</v>
      </c>
      <c r="D50" s="5">
        <v>2.0000000000000001E-4</v>
      </c>
      <c r="E50">
        <f t="shared" si="0"/>
        <v>684.65661684775205</v>
      </c>
      <c r="F50">
        <f t="shared" si="1"/>
        <v>684.5</v>
      </c>
      <c r="G50">
        <f t="shared" si="2"/>
        <v>1.4077485000016168</v>
      </c>
      <c r="K50">
        <f>G50</f>
        <v>1.4077485000016168</v>
      </c>
      <c r="O50">
        <f t="shared" si="4"/>
        <v>3.7143418303267894E-2</v>
      </c>
      <c r="P50">
        <f t="shared" si="5"/>
        <v>1.4076400937341729</v>
      </c>
      <c r="Q50" s="1">
        <f t="shared" si="3"/>
        <v>40837.233</v>
      </c>
      <c r="S50">
        <f>G50</f>
        <v>1.4077485000016168</v>
      </c>
    </row>
    <row r="51" spans="1:19" x14ac:dyDescent="0.2">
      <c r="A51" s="5" t="s">
        <v>51</v>
      </c>
      <c r="B51" s="6" t="s">
        <v>50</v>
      </c>
      <c r="C51" s="5">
        <v>55882.698700000001</v>
      </c>
      <c r="D51" s="5">
        <v>2.9999999999999997E-4</v>
      </c>
      <c r="E51">
        <f t="shared" si="0"/>
        <v>687.65664343732158</v>
      </c>
      <c r="F51">
        <f t="shared" si="1"/>
        <v>687.5</v>
      </c>
      <c r="G51">
        <f t="shared" si="2"/>
        <v>1.4079875000024913</v>
      </c>
      <c r="K51">
        <f>G51</f>
        <v>1.4079875000024913</v>
      </c>
      <c r="O51">
        <f t="shared" si="4"/>
        <v>3.7315265318412866E-2</v>
      </c>
      <c r="P51">
        <f t="shared" si="5"/>
        <v>1.4078347002698766</v>
      </c>
      <c r="Q51" s="1">
        <f t="shared" si="3"/>
        <v>40864.198700000001</v>
      </c>
      <c r="S51">
        <f>G51</f>
        <v>1.4079875000024913</v>
      </c>
    </row>
    <row r="52" spans="1:19" x14ac:dyDescent="0.2">
      <c r="A52" s="5" t="s">
        <v>51</v>
      </c>
      <c r="B52" s="6" t="s">
        <v>50</v>
      </c>
      <c r="C52" s="5">
        <v>55894.810700000002</v>
      </c>
      <c r="D52" s="5">
        <v>2.0000000000000001E-4</v>
      </c>
      <c r="E52">
        <f t="shared" si="0"/>
        <v>689.00414496900328</v>
      </c>
      <c r="F52">
        <f t="shared" si="1"/>
        <v>689</v>
      </c>
      <c r="G52">
        <f t="shared" si="2"/>
        <v>3.7257000003592111E-2</v>
      </c>
      <c r="K52">
        <f>G52</f>
        <v>3.7257000003592111E-2</v>
      </c>
      <c r="O52">
        <f t="shared" si="4"/>
        <v>3.7401188825985351E-2</v>
      </c>
      <c r="P52">
        <f t="shared" si="5"/>
        <v>1.4079320035377285</v>
      </c>
      <c r="Q52" s="1">
        <f t="shared" si="3"/>
        <v>40876.310700000002</v>
      </c>
      <c r="R52">
        <f>G52</f>
        <v>3.7257000003592111E-2</v>
      </c>
    </row>
    <row r="53" spans="1:19" x14ac:dyDescent="0.2">
      <c r="A53" s="5" t="s">
        <v>51</v>
      </c>
      <c r="B53" s="6" t="s">
        <v>50</v>
      </c>
      <c r="C53" s="5">
        <v>55936.6296</v>
      </c>
      <c r="D53" s="5">
        <v>2.0000000000000001E-4</v>
      </c>
      <c r="E53">
        <f t="shared" si="0"/>
        <v>693.65664098974605</v>
      </c>
      <c r="F53">
        <f t="shared" si="1"/>
        <v>693.5</v>
      </c>
      <c r="G53">
        <f t="shared" si="2"/>
        <v>1.4079655000023195</v>
      </c>
      <c r="K53">
        <f>G53</f>
        <v>1.4079655000023195</v>
      </c>
      <c r="O53">
        <f t="shared" si="4"/>
        <v>3.7658959348702808E-2</v>
      </c>
      <c r="P53">
        <f t="shared" si="5"/>
        <v>1.4082239133412842</v>
      </c>
      <c r="Q53" s="1">
        <f t="shared" si="3"/>
        <v>40918.1296</v>
      </c>
      <c r="S53">
        <f>G53</f>
        <v>1.4079655000023195</v>
      </c>
    </row>
    <row r="54" spans="1:19" x14ac:dyDescent="0.2">
      <c r="A54" s="5" t="s">
        <v>51</v>
      </c>
      <c r="B54" s="6" t="s">
        <v>50</v>
      </c>
      <c r="C54" s="5">
        <v>55945.617899999997</v>
      </c>
      <c r="D54" s="5">
        <v>2.9999999999999997E-4</v>
      </c>
      <c r="E54">
        <f t="shared" si="0"/>
        <v>694.65662018535454</v>
      </c>
      <c r="F54">
        <f t="shared" si="1"/>
        <v>694.5</v>
      </c>
      <c r="G54">
        <f t="shared" si="2"/>
        <v>1.4077784999972209</v>
      </c>
      <c r="K54">
        <f>G54</f>
        <v>1.4077784999972209</v>
      </c>
      <c r="O54">
        <f t="shared" si="4"/>
        <v>3.771624168708447E-2</v>
      </c>
      <c r="P54">
        <f t="shared" si="5"/>
        <v>1.4082887821865189</v>
      </c>
      <c r="Q54" s="1">
        <f t="shared" si="3"/>
        <v>40927.117899999997</v>
      </c>
      <c r="S54">
        <f>G54</f>
        <v>1.4077784999972209</v>
      </c>
    </row>
    <row r="55" spans="1:19" x14ac:dyDescent="0.2">
      <c r="A55" s="8" t="s">
        <v>52</v>
      </c>
      <c r="B55" s="7" t="s">
        <v>34</v>
      </c>
      <c r="C55" s="8">
        <v>55945.620499999997</v>
      </c>
      <c r="D55" s="8">
        <v>5.9999999999999995E-4</v>
      </c>
      <c r="E55">
        <f t="shared" si="0"/>
        <v>694.6569094442699</v>
      </c>
      <c r="F55">
        <f t="shared" si="1"/>
        <v>694.5</v>
      </c>
      <c r="G55">
        <f t="shared" si="2"/>
        <v>1.410378499997023</v>
      </c>
      <c r="K55">
        <f>G55</f>
        <v>1.410378499997023</v>
      </c>
      <c r="O55">
        <f t="shared" si="4"/>
        <v>3.771624168708447E-2</v>
      </c>
      <c r="P55">
        <f t="shared" si="5"/>
        <v>1.4082887821865189</v>
      </c>
      <c r="Q55" s="1">
        <f t="shared" si="3"/>
        <v>40927.120499999997</v>
      </c>
      <c r="S55">
        <f>G55</f>
        <v>1.410378499997023</v>
      </c>
    </row>
    <row r="56" spans="1:19" x14ac:dyDescent="0.2">
      <c r="A56" s="11" t="s">
        <v>53</v>
      </c>
      <c r="B56" s="12" t="s">
        <v>50</v>
      </c>
      <c r="C56" s="13">
        <v>56272.3318</v>
      </c>
      <c r="D56" s="13">
        <v>1.04E-2</v>
      </c>
      <c r="E56">
        <f t="shared" si="0"/>
        <v>731.00466185243408</v>
      </c>
      <c r="F56">
        <f t="shared" si="1"/>
        <v>731</v>
      </c>
      <c r="G56">
        <f t="shared" si="2"/>
        <v>4.1902999997546431E-2</v>
      </c>
      <c r="K56">
        <f>G56</f>
        <v>4.1902999997546431E-2</v>
      </c>
      <c r="O56">
        <f t="shared" si="4"/>
        <v>3.9807047038014964E-2</v>
      </c>
      <c r="P56">
        <f t="shared" si="5"/>
        <v>1.4106564950375815</v>
      </c>
      <c r="Q56" s="1">
        <f t="shared" si="3"/>
        <v>41253.8318</v>
      </c>
      <c r="R56">
        <f>G56</f>
        <v>4.1902999997546431E-2</v>
      </c>
    </row>
    <row r="57" spans="1:19" x14ac:dyDescent="0.2">
      <c r="C57" s="4"/>
      <c r="D57" s="4"/>
    </row>
    <row r="58" spans="1:19" x14ac:dyDescent="0.2">
      <c r="C58" s="4"/>
      <c r="D58" s="4"/>
    </row>
    <row r="59" spans="1:19" x14ac:dyDescent="0.2">
      <c r="C59" s="4"/>
      <c r="D59" s="4"/>
    </row>
    <row r="60" spans="1:19" x14ac:dyDescent="0.2">
      <c r="C60" s="4"/>
      <c r="D60" s="4"/>
    </row>
    <row r="61" spans="1:19" x14ac:dyDescent="0.2">
      <c r="C61" s="4"/>
      <c r="D61" s="4"/>
    </row>
    <row r="62" spans="1:19" x14ac:dyDescent="0.2">
      <c r="C62" s="4"/>
      <c r="D62" s="4"/>
    </row>
    <row r="63" spans="1:19" x14ac:dyDescent="0.2">
      <c r="C63" s="4"/>
      <c r="D63" s="4"/>
    </row>
    <row r="64" spans="1:19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8"/>
  <sheetViews>
    <sheetView workbookViewId="0">
      <selection activeCell="A29" sqref="A29:C38"/>
    </sheetView>
  </sheetViews>
  <sheetFormatPr defaultRowHeight="12.75" x14ac:dyDescent="0.2"/>
  <cols>
    <col min="1" max="1" width="19.7109375" style="4" customWidth="1"/>
    <col min="2" max="2" width="4.42578125" style="3" customWidth="1"/>
    <col min="3" max="3" width="12.7109375" style="4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4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14" t="s">
        <v>54</v>
      </c>
      <c r="I1" s="15" t="s">
        <v>55</v>
      </c>
      <c r="J1" s="16" t="s">
        <v>56</v>
      </c>
    </row>
    <row r="2" spans="1:16" x14ac:dyDescent="0.2">
      <c r="I2" s="17" t="s">
        <v>57</v>
      </c>
      <c r="J2" s="18" t="s">
        <v>58</v>
      </c>
    </row>
    <row r="3" spans="1:16" x14ac:dyDescent="0.2">
      <c r="A3" s="19" t="s">
        <v>59</v>
      </c>
      <c r="I3" s="17" t="s">
        <v>60</v>
      </c>
      <c r="J3" s="18" t="s">
        <v>61</v>
      </c>
    </row>
    <row r="4" spans="1:16" x14ac:dyDescent="0.2">
      <c r="I4" s="17" t="s">
        <v>62</v>
      </c>
      <c r="J4" s="18" t="s">
        <v>61</v>
      </c>
    </row>
    <row r="5" spans="1:16" ht="13.5" thickBot="1" x14ac:dyDescent="0.25">
      <c r="I5" s="20" t="s">
        <v>63</v>
      </c>
      <c r="J5" s="21" t="s">
        <v>48</v>
      </c>
    </row>
    <row r="10" spans="1:16" ht="13.5" thickBot="1" x14ac:dyDescent="0.25"/>
    <row r="11" spans="1:16" ht="12.75" customHeight="1" thickBot="1" x14ac:dyDescent="0.25">
      <c r="A11" s="4" t="str">
        <f t="shared" ref="A11:A38" si="0">P11</f>
        <v>IBVS 4168 </v>
      </c>
      <c r="B11" s="2" t="str">
        <f t="shared" ref="B11:B38" si="1">IF(H11=INT(H11),"I","II")</f>
        <v>I</v>
      </c>
      <c r="C11" s="4">
        <f t="shared" ref="C11:C38" si="2">1*G11</f>
        <v>49602.845999999998</v>
      </c>
      <c r="D11" s="3" t="str">
        <f t="shared" ref="D11:D38" si="3">VLOOKUP(F11,I$1:J$5,2,FALSE)</f>
        <v>vis</v>
      </c>
      <c r="E11" s="22">
        <f>VLOOKUP(C11,'Active 1'!C$21:E$973,3,FALSE)</f>
        <v>-10.998502862606701</v>
      </c>
      <c r="F11" s="2" t="s">
        <v>63</v>
      </c>
      <c r="G11" s="3" t="str">
        <f t="shared" ref="G11:G38" si="4">MID(I11,3,LEN(I11)-3)</f>
        <v>49602.846</v>
      </c>
      <c r="H11" s="4">
        <f t="shared" ref="H11:H38" si="5">1*K11</f>
        <v>-323</v>
      </c>
      <c r="I11" s="23" t="s">
        <v>66</v>
      </c>
      <c r="J11" s="24" t="s">
        <v>67</v>
      </c>
      <c r="K11" s="23">
        <v>-323</v>
      </c>
      <c r="L11" s="23" t="s">
        <v>68</v>
      </c>
      <c r="M11" s="24" t="s">
        <v>65</v>
      </c>
      <c r="N11" s="24"/>
      <c r="O11" s="25" t="s">
        <v>69</v>
      </c>
      <c r="P11" s="26" t="s">
        <v>70</v>
      </c>
    </row>
    <row r="12" spans="1:16" ht="12.75" customHeight="1" thickBot="1" x14ac:dyDescent="0.25">
      <c r="A12" s="4" t="str">
        <f t="shared" si="0"/>
        <v>IBVS 4168 </v>
      </c>
      <c r="B12" s="2" t="str">
        <f t="shared" si="1"/>
        <v>II</v>
      </c>
      <c r="C12" s="4">
        <f t="shared" si="2"/>
        <v>49653.631999999998</v>
      </c>
      <c r="D12" s="3" t="str">
        <f t="shared" si="3"/>
        <v>vis</v>
      </c>
      <c r="E12" s="22">
        <f>VLOOKUP(C12,'Active 1'!C$21:E$973,3,FALSE)</f>
        <v>-5.3483862189490905</v>
      </c>
      <c r="F12" s="2" t="s">
        <v>63</v>
      </c>
      <c r="G12" s="3" t="str">
        <f t="shared" si="4"/>
        <v>49653.632</v>
      </c>
      <c r="H12" s="4">
        <f t="shared" si="5"/>
        <v>-317.5</v>
      </c>
      <c r="I12" s="23" t="s">
        <v>71</v>
      </c>
      <c r="J12" s="24" t="s">
        <v>72</v>
      </c>
      <c r="K12" s="23">
        <v>-317.5</v>
      </c>
      <c r="L12" s="23" t="s">
        <v>64</v>
      </c>
      <c r="M12" s="24" t="s">
        <v>73</v>
      </c>
      <c r="N12" s="24"/>
      <c r="O12" s="25" t="s">
        <v>74</v>
      </c>
      <c r="P12" s="26" t="s">
        <v>70</v>
      </c>
    </row>
    <row r="13" spans="1:16" ht="12.75" customHeight="1" thickBot="1" x14ac:dyDescent="0.25">
      <c r="A13" s="4" t="str">
        <f t="shared" si="0"/>
        <v>IBVS 4168 </v>
      </c>
      <c r="B13" s="2" t="str">
        <f t="shared" si="1"/>
        <v>II</v>
      </c>
      <c r="C13" s="4">
        <f t="shared" si="2"/>
        <v>49680.597000000002</v>
      </c>
      <c r="D13" s="3" t="str">
        <f t="shared" si="3"/>
        <v>vis</v>
      </c>
      <c r="E13" s="22">
        <f>VLOOKUP(C13,'Active 1'!C$21:E$973,3,FALSE)</f>
        <v>-2.3484375067794243</v>
      </c>
      <c r="F13" s="2" t="s">
        <v>63</v>
      </c>
      <c r="G13" s="3" t="str">
        <f t="shared" si="4"/>
        <v>49680.597</v>
      </c>
      <c r="H13" s="4">
        <f t="shared" si="5"/>
        <v>-314.5</v>
      </c>
      <c r="I13" s="23" t="s">
        <v>75</v>
      </c>
      <c r="J13" s="24" t="s">
        <v>76</v>
      </c>
      <c r="K13" s="23">
        <v>-314.5</v>
      </c>
      <c r="L13" s="23" t="s">
        <v>77</v>
      </c>
      <c r="M13" s="24" t="s">
        <v>73</v>
      </c>
      <c r="N13" s="24"/>
      <c r="O13" s="25" t="s">
        <v>74</v>
      </c>
      <c r="P13" s="26" t="s">
        <v>70</v>
      </c>
    </row>
    <row r="14" spans="1:16" ht="12.75" customHeight="1" thickBot="1" x14ac:dyDescent="0.25">
      <c r="A14" s="4" t="str">
        <f t="shared" si="0"/>
        <v>IBVS 4168 </v>
      </c>
      <c r="B14" s="2" t="str">
        <f t="shared" si="1"/>
        <v>I</v>
      </c>
      <c r="C14" s="4">
        <f t="shared" si="2"/>
        <v>49701.706100000003</v>
      </c>
      <c r="D14" s="3" t="str">
        <f t="shared" si="3"/>
        <v>vis</v>
      </c>
      <c r="E14" s="22">
        <f>VLOOKUP(C14,'Active 1'!C$21:E$973,3,FALSE)</f>
        <v>2.2250686041325161E-5</v>
      </c>
      <c r="F14" s="2" t="s">
        <v>63</v>
      </c>
      <c r="G14" s="3" t="str">
        <f t="shared" si="4"/>
        <v>49701.7061</v>
      </c>
      <c r="H14" s="4">
        <f t="shared" si="5"/>
        <v>-312</v>
      </c>
      <c r="I14" s="23" t="s">
        <v>78</v>
      </c>
      <c r="J14" s="24" t="s">
        <v>79</v>
      </c>
      <c r="K14" s="23">
        <v>-312</v>
      </c>
      <c r="L14" s="23" t="s">
        <v>80</v>
      </c>
      <c r="M14" s="24" t="s">
        <v>81</v>
      </c>
      <c r="N14" s="24" t="s">
        <v>82</v>
      </c>
      <c r="O14" s="25" t="s">
        <v>83</v>
      </c>
      <c r="P14" s="26" t="s">
        <v>70</v>
      </c>
    </row>
    <row r="15" spans="1:16" ht="12.75" customHeight="1" thickBot="1" x14ac:dyDescent="0.25">
      <c r="A15" s="4" t="str">
        <f t="shared" si="0"/>
        <v>IBVS 4168 </v>
      </c>
      <c r="B15" s="2" t="str">
        <f t="shared" si="1"/>
        <v>II</v>
      </c>
      <c r="C15" s="4">
        <f t="shared" si="2"/>
        <v>49707.564899999998</v>
      </c>
      <c r="D15" s="3" t="str">
        <f t="shared" si="3"/>
        <v>vis</v>
      </c>
      <c r="E15" s="22">
        <f>VLOOKUP(C15,'Active 1'!C$21:E$973,3,FALSE)</f>
        <v>0.65183384033338876</v>
      </c>
      <c r="F15" s="2" t="s">
        <v>63</v>
      </c>
      <c r="G15" s="3" t="str">
        <f t="shared" si="4"/>
        <v>49707.5649</v>
      </c>
      <c r="H15" s="4">
        <f t="shared" si="5"/>
        <v>-311.5</v>
      </c>
      <c r="I15" s="23" t="s">
        <v>84</v>
      </c>
      <c r="J15" s="24" t="s">
        <v>85</v>
      </c>
      <c r="K15" s="23">
        <v>-311.5</v>
      </c>
      <c r="L15" s="23" t="s">
        <v>86</v>
      </c>
      <c r="M15" s="24" t="s">
        <v>81</v>
      </c>
      <c r="N15" s="24" t="s">
        <v>82</v>
      </c>
      <c r="O15" s="25" t="s">
        <v>69</v>
      </c>
      <c r="P15" s="26" t="s">
        <v>70</v>
      </c>
    </row>
    <row r="16" spans="1:16" ht="12.75" customHeight="1" thickBot="1" x14ac:dyDescent="0.25">
      <c r="A16" s="4" t="str">
        <f t="shared" si="0"/>
        <v>IBVS 4168 </v>
      </c>
      <c r="B16" s="2" t="str">
        <f t="shared" si="1"/>
        <v>I</v>
      </c>
      <c r="C16" s="4">
        <f t="shared" si="2"/>
        <v>49755.635499999997</v>
      </c>
      <c r="D16" s="3" t="str">
        <f t="shared" si="3"/>
        <v>vis</v>
      </c>
      <c r="E16" s="22">
        <f>VLOOKUP(C16,'Active 1'!C$21:E$973,3,FALSE)</f>
        <v>5.9998529229664399</v>
      </c>
      <c r="F16" s="2" t="s">
        <v>63</v>
      </c>
      <c r="G16" s="3" t="str">
        <f t="shared" si="4"/>
        <v>49755.6355</v>
      </c>
      <c r="H16" s="4">
        <f t="shared" si="5"/>
        <v>-306</v>
      </c>
      <c r="I16" s="23" t="s">
        <v>87</v>
      </c>
      <c r="J16" s="24" t="s">
        <v>88</v>
      </c>
      <c r="K16" s="23">
        <v>-306</v>
      </c>
      <c r="L16" s="23" t="s">
        <v>89</v>
      </c>
      <c r="M16" s="24" t="s">
        <v>81</v>
      </c>
      <c r="N16" s="24" t="s">
        <v>82</v>
      </c>
      <c r="O16" s="25" t="s">
        <v>69</v>
      </c>
      <c r="P16" s="26" t="s">
        <v>70</v>
      </c>
    </row>
    <row r="17" spans="1:16" ht="12.75" customHeight="1" thickBot="1" x14ac:dyDescent="0.25">
      <c r="A17" s="4" t="str">
        <f t="shared" si="0"/>
        <v>BAVM 172 </v>
      </c>
      <c r="B17" s="2" t="str">
        <f t="shared" si="1"/>
        <v>II</v>
      </c>
      <c r="C17" s="4">
        <f t="shared" si="2"/>
        <v>52997.370799999997</v>
      </c>
      <c r="D17" s="3" t="str">
        <f t="shared" si="3"/>
        <v>vis</v>
      </c>
      <c r="E17" s="22">
        <f>VLOOKUP(C17,'Active 1'!C$21:E$973,3,FALSE)</f>
        <v>366.65402086024005</v>
      </c>
      <c r="F17" s="2" t="s">
        <v>63</v>
      </c>
      <c r="G17" s="3" t="str">
        <f t="shared" si="4"/>
        <v>52997.3708</v>
      </c>
      <c r="H17" s="4">
        <f t="shared" si="5"/>
        <v>54.5</v>
      </c>
      <c r="I17" s="23" t="s">
        <v>96</v>
      </c>
      <c r="J17" s="24" t="s">
        <v>97</v>
      </c>
      <c r="K17" s="23">
        <v>54.5</v>
      </c>
      <c r="L17" s="23" t="s">
        <v>98</v>
      </c>
      <c r="M17" s="24" t="s">
        <v>81</v>
      </c>
      <c r="N17" s="24" t="s">
        <v>99</v>
      </c>
      <c r="O17" s="25" t="s">
        <v>100</v>
      </c>
      <c r="P17" s="26" t="s">
        <v>101</v>
      </c>
    </row>
    <row r="18" spans="1:16" ht="12.75" customHeight="1" thickBot="1" x14ac:dyDescent="0.25">
      <c r="A18" s="4" t="str">
        <f t="shared" si="0"/>
        <v>BAVM 173 </v>
      </c>
      <c r="B18" s="2" t="str">
        <f t="shared" si="1"/>
        <v>I</v>
      </c>
      <c r="C18" s="4">
        <f t="shared" si="2"/>
        <v>53045.440600000002</v>
      </c>
      <c r="D18" s="3" t="str">
        <f t="shared" si="3"/>
        <v>vis</v>
      </c>
      <c r="E18" s="22">
        <f>VLOOKUP(C18,'Active 1'!C$21:E$973,3,FALSE)</f>
        <v>372.00195094013054</v>
      </c>
      <c r="F18" s="2" t="s">
        <v>63</v>
      </c>
      <c r="G18" s="3" t="str">
        <f t="shared" si="4"/>
        <v>53045.4406</v>
      </c>
      <c r="H18" s="4">
        <f t="shared" si="5"/>
        <v>60</v>
      </c>
      <c r="I18" s="23" t="s">
        <v>102</v>
      </c>
      <c r="J18" s="24" t="s">
        <v>103</v>
      </c>
      <c r="K18" s="23">
        <v>60</v>
      </c>
      <c r="L18" s="23" t="s">
        <v>98</v>
      </c>
      <c r="M18" s="24" t="s">
        <v>81</v>
      </c>
      <c r="N18" s="24" t="s">
        <v>99</v>
      </c>
      <c r="O18" s="25" t="s">
        <v>104</v>
      </c>
      <c r="P18" s="26" t="s">
        <v>105</v>
      </c>
    </row>
    <row r="19" spans="1:16" ht="12.75" customHeight="1" thickBot="1" x14ac:dyDescent="0.25">
      <c r="A19" s="4" t="str">
        <f t="shared" si="0"/>
        <v>IBVS 6014 </v>
      </c>
      <c r="B19" s="2" t="str">
        <f t="shared" si="1"/>
        <v>I</v>
      </c>
      <c r="C19" s="4">
        <f t="shared" si="2"/>
        <v>55813.914700000001</v>
      </c>
      <c r="D19" s="3" t="str">
        <f t="shared" si="3"/>
        <v>vis</v>
      </c>
      <c r="E19" s="22">
        <f>VLOOKUP(C19,'Active 1'!C$21:E$973,3,FALSE)</f>
        <v>680.00418757906652</v>
      </c>
      <c r="F19" s="2" t="s">
        <v>63</v>
      </c>
      <c r="G19" s="3" t="str">
        <f t="shared" si="4"/>
        <v>55813.9147</v>
      </c>
      <c r="H19" s="4">
        <f t="shared" si="5"/>
        <v>368</v>
      </c>
      <c r="I19" s="23" t="s">
        <v>136</v>
      </c>
      <c r="J19" s="24" t="s">
        <v>137</v>
      </c>
      <c r="K19" s="23">
        <v>368</v>
      </c>
      <c r="L19" s="23" t="s">
        <v>80</v>
      </c>
      <c r="M19" s="24" t="s">
        <v>109</v>
      </c>
      <c r="N19" s="24" t="s">
        <v>63</v>
      </c>
      <c r="O19" s="25" t="s">
        <v>94</v>
      </c>
      <c r="P19" s="26" t="s">
        <v>138</v>
      </c>
    </row>
    <row r="20" spans="1:16" ht="12.75" customHeight="1" thickBot="1" x14ac:dyDescent="0.25">
      <c r="A20" s="4" t="str">
        <f t="shared" si="0"/>
        <v>IBVS 6014 </v>
      </c>
      <c r="B20" s="2" t="str">
        <f t="shared" si="1"/>
        <v>I</v>
      </c>
      <c r="C20" s="4">
        <f t="shared" si="2"/>
        <v>55831.891799999998</v>
      </c>
      <c r="D20" s="3" t="str">
        <f t="shared" si="3"/>
        <v>vis</v>
      </c>
      <c r="E20" s="22">
        <f>VLOOKUP(C20,'Active 1'!C$21:E$973,3,FALSE)</f>
        <v>682.0042015969982</v>
      </c>
      <c r="F20" s="2" t="s">
        <v>63</v>
      </c>
      <c r="G20" s="3" t="str">
        <f t="shared" si="4"/>
        <v>55831.8918</v>
      </c>
      <c r="H20" s="4">
        <f t="shared" si="5"/>
        <v>370</v>
      </c>
      <c r="I20" s="23" t="s">
        <v>139</v>
      </c>
      <c r="J20" s="24" t="s">
        <v>140</v>
      </c>
      <c r="K20" s="23">
        <v>370</v>
      </c>
      <c r="L20" s="23" t="s">
        <v>141</v>
      </c>
      <c r="M20" s="24" t="s">
        <v>109</v>
      </c>
      <c r="N20" s="24" t="s">
        <v>63</v>
      </c>
      <c r="O20" s="25" t="s">
        <v>94</v>
      </c>
      <c r="P20" s="26" t="s">
        <v>138</v>
      </c>
    </row>
    <row r="21" spans="1:16" ht="12.75" customHeight="1" thickBot="1" x14ac:dyDescent="0.25">
      <c r="A21" s="4" t="str">
        <f t="shared" si="0"/>
        <v>IBVS 6011 </v>
      </c>
      <c r="B21" s="2" t="str">
        <f t="shared" si="1"/>
        <v>I</v>
      </c>
      <c r="C21" s="4">
        <f t="shared" si="2"/>
        <v>55849.87</v>
      </c>
      <c r="D21" s="3" t="str">
        <f t="shared" si="3"/>
        <v>vis</v>
      </c>
      <c r="E21" s="22">
        <f>VLOOKUP(C21,'Active 1'!C$21:E$973,3,FALSE)</f>
        <v>684.00433799370262</v>
      </c>
      <c r="F21" s="2" t="s">
        <v>63</v>
      </c>
      <c r="G21" s="3" t="str">
        <f t="shared" si="4"/>
        <v>55849.8700</v>
      </c>
      <c r="H21" s="4">
        <f t="shared" si="5"/>
        <v>372</v>
      </c>
      <c r="I21" s="23" t="s">
        <v>142</v>
      </c>
      <c r="J21" s="24" t="s">
        <v>143</v>
      </c>
      <c r="K21" s="23">
        <v>372</v>
      </c>
      <c r="L21" s="23" t="s">
        <v>144</v>
      </c>
      <c r="M21" s="24" t="s">
        <v>109</v>
      </c>
      <c r="N21" s="24" t="s">
        <v>63</v>
      </c>
      <c r="O21" s="25" t="s">
        <v>145</v>
      </c>
      <c r="P21" s="26" t="s">
        <v>146</v>
      </c>
    </row>
    <row r="22" spans="1:16" ht="12.75" customHeight="1" thickBot="1" x14ac:dyDescent="0.25">
      <c r="A22" s="4" t="str">
        <f t="shared" si="0"/>
        <v>IBVS 6014 </v>
      </c>
      <c r="B22" s="2" t="str">
        <f t="shared" si="1"/>
        <v>II</v>
      </c>
      <c r="C22" s="4">
        <f t="shared" si="2"/>
        <v>55855.733</v>
      </c>
      <c r="D22" s="3" t="str">
        <f t="shared" si="3"/>
        <v>vis</v>
      </c>
      <c r="E22" s="22">
        <f>VLOOKUP(C22,'Active 1'!C$21:E$973,3,FALSE)</f>
        <v>684.65661684775205</v>
      </c>
      <c r="F22" s="2" t="s">
        <v>63</v>
      </c>
      <c r="G22" s="3" t="str">
        <f t="shared" si="4"/>
        <v>55855.7330</v>
      </c>
      <c r="H22" s="4">
        <f t="shared" si="5"/>
        <v>372.5</v>
      </c>
      <c r="I22" s="23" t="s">
        <v>147</v>
      </c>
      <c r="J22" s="24" t="s">
        <v>148</v>
      </c>
      <c r="K22" s="23">
        <v>372.5</v>
      </c>
      <c r="L22" s="23" t="s">
        <v>149</v>
      </c>
      <c r="M22" s="24" t="s">
        <v>109</v>
      </c>
      <c r="N22" s="24" t="s">
        <v>63</v>
      </c>
      <c r="O22" s="25" t="s">
        <v>94</v>
      </c>
      <c r="P22" s="26" t="s">
        <v>138</v>
      </c>
    </row>
    <row r="23" spans="1:16" ht="12.75" customHeight="1" thickBot="1" x14ac:dyDescent="0.25">
      <c r="A23" s="4" t="str">
        <f t="shared" si="0"/>
        <v>IBVS 6014 </v>
      </c>
      <c r="B23" s="2" t="str">
        <f t="shared" si="1"/>
        <v>II</v>
      </c>
      <c r="C23" s="4">
        <f t="shared" si="2"/>
        <v>55882.698700000001</v>
      </c>
      <c r="D23" s="3" t="str">
        <f t="shared" si="3"/>
        <v>vis</v>
      </c>
      <c r="E23" s="22">
        <f>VLOOKUP(C23,'Active 1'!C$21:E$973,3,FALSE)</f>
        <v>687.65664343732158</v>
      </c>
      <c r="F23" s="2" t="s">
        <v>63</v>
      </c>
      <c r="G23" s="3" t="str">
        <f t="shared" si="4"/>
        <v>55882.6987</v>
      </c>
      <c r="H23" s="4">
        <f t="shared" si="5"/>
        <v>375.5</v>
      </c>
      <c r="I23" s="23" t="s">
        <v>150</v>
      </c>
      <c r="J23" s="24" t="s">
        <v>151</v>
      </c>
      <c r="K23" s="23">
        <v>375.5</v>
      </c>
      <c r="L23" s="23" t="s">
        <v>152</v>
      </c>
      <c r="M23" s="24" t="s">
        <v>109</v>
      </c>
      <c r="N23" s="24" t="s">
        <v>63</v>
      </c>
      <c r="O23" s="25" t="s">
        <v>94</v>
      </c>
      <c r="P23" s="26" t="s">
        <v>138</v>
      </c>
    </row>
    <row r="24" spans="1:16" ht="12.75" customHeight="1" thickBot="1" x14ac:dyDescent="0.25">
      <c r="A24" s="4" t="str">
        <f t="shared" si="0"/>
        <v>IBVS 6014 </v>
      </c>
      <c r="B24" s="2" t="str">
        <f t="shared" si="1"/>
        <v>I</v>
      </c>
      <c r="C24" s="4">
        <f t="shared" si="2"/>
        <v>55894.810700000002</v>
      </c>
      <c r="D24" s="3" t="str">
        <f t="shared" si="3"/>
        <v>vis</v>
      </c>
      <c r="E24" s="22">
        <f>VLOOKUP(C24,'Active 1'!C$21:E$973,3,FALSE)</f>
        <v>689.00414496900328</v>
      </c>
      <c r="F24" s="2" t="s">
        <v>63</v>
      </c>
      <c r="G24" s="3" t="str">
        <f t="shared" si="4"/>
        <v>55894.8107</v>
      </c>
      <c r="H24" s="4">
        <f t="shared" si="5"/>
        <v>377</v>
      </c>
      <c r="I24" s="23" t="s">
        <v>153</v>
      </c>
      <c r="J24" s="24" t="s">
        <v>154</v>
      </c>
      <c r="K24" s="23">
        <v>377</v>
      </c>
      <c r="L24" s="23" t="s">
        <v>155</v>
      </c>
      <c r="M24" s="24" t="s">
        <v>109</v>
      </c>
      <c r="N24" s="24" t="s">
        <v>63</v>
      </c>
      <c r="O24" s="25" t="s">
        <v>94</v>
      </c>
      <c r="P24" s="26" t="s">
        <v>138</v>
      </c>
    </row>
    <row r="25" spans="1:16" ht="12.75" customHeight="1" thickBot="1" x14ac:dyDescent="0.25">
      <c r="A25" s="4" t="str">
        <f t="shared" si="0"/>
        <v>IBVS 6014 </v>
      </c>
      <c r="B25" s="2" t="str">
        <f t="shared" si="1"/>
        <v>II</v>
      </c>
      <c r="C25" s="4">
        <f t="shared" si="2"/>
        <v>55936.6296</v>
      </c>
      <c r="D25" s="3" t="str">
        <f t="shared" si="3"/>
        <v>vis</v>
      </c>
      <c r="E25" s="22">
        <f>VLOOKUP(C25,'Active 1'!C$21:E$973,3,FALSE)</f>
        <v>693.65664098974605</v>
      </c>
      <c r="F25" s="2" t="s">
        <v>63</v>
      </c>
      <c r="G25" s="3" t="str">
        <f t="shared" si="4"/>
        <v>55936.6296</v>
      </c>
      <c r="H25" s="4">
        <f t="shared" si="5"/>
        <v>381.5</v>
      </c>
      <c r="I25" s="23" t="s">
        <v>156</v>
      </c>
      <c r="J25" s="24" t="s">
        <v>157</v>
      </c>
      <c r="K25" s="23">
        <v>381.5</v>
      </c>
      <c r="L25" s="23" t="s">
        <v>158</v>
      </c>
      <c r="M25" s="24" t="s">
        <v>109</v>
      </c>
      <c r="N25" s="24" t="s">
        <v>63</v>
      </c>
      <c r="O25" s="25" t="s">
        <v>94</v>
      </c>
      <c r="P25" s="26" t="s">
        <v>138</v>
      </c>
    </row>
    <row r="26" spans="1:16" ht="12.75" customHeight="1" thickBot="1" x14ac:dyDescent="0.25">
      <c r="A26" s="4" t="str">
        <f t="shared" si="0"/>
        <v>IBVS 6014 </v>
      </c>
      <c r="B26" s="2" t="str">
        <f t="shared" si="1"/>
        <v>II</v>
      </c>
      <c r="C26" s="4">
        <f t="shared" si="2"/>
        <v>55945.617899999997</v>
      </c>
      <c r="D26" s="3" t="str">
        <f t="shared" si="3"/>
        <v>vis</v>
      </c>
      <c r="E26" s="22">
        <f>VLOOKUP(C26,'Active 1'!C$21:E$973,3,FALSE)</f>
        <v>694.65662018535454</v>
      </c>
      <c r="F26" s="2" t="s">
        <v>63</v>
      </c>
      <c r="G26" s="3" t="str">
        <f t="shared" si="4"/>
        <v>55945.6179</v>
      </c>
      <c r="H26" s="4">
        <f t="shared" si="5"/>
        <v>382.5</v>
      </c>
      <c r="I26" s="23" t="s">
        <v>159</v>
      </c>
      <c r="J26" s="24" t="s">
        <v>160</v>
      </c>
      <c r="K26" s="23">
        <v>382.5</v>
      </c>
      <c r="L26" s="23" t="s">
        <v>161</v>
      </c>
      <c r="M26" s="24" t="s">
        <v>109</v>
      </c>
      <c r="N26" s="24" t="s">
        <v>63</v>
      </c>
      <c r="O26" s="25" t="s">
        <v>94</v>
      </c>
      <c r="P26" s="26" t="s">
        <v>138</v>
      </c>
    </row>
    <row r="27" spans="1:16" ht="12.75" customHeight="1" thickBot="1" x14ac:dyDescent="0.25">
      <c r="A27" s="4" t="str">
        <f t="shared" si="0"/>
        <v>IBVS 6029 </v>
      </c>
      <c r="B27" s="2" t="str">
        <f t="shared" si="1"/>
        <v>II</v>
      </c>
      <c r="C27" s="4">
        <f t="shared" si="2"/>
        <v>55945.620499999997</v>
      </c>
      <c r="D27" s="3" t="str">
        <f t="shared" si="3"/>
        <v>vis</v>
      </c>
      <c r="E27" s="22">
        <f>VLOOKUP(C27,'Active 1'!C$21:E$973,3,FALSE)</f>
        <v>694.6569094442699</v>
      </c>
      <c r="F27" s="2" t="s">
        <v>63</v>
      </c>
      <c r="G27" s="3" t="str">
        <f t="shared" si="4"/>
        <v>55945.6205</v>
      </c>
      <c r="H27" s="4">
        <f t="shared" si="5"/>
        <v>382.5</v>
      </c>
      <c r="I27" s="23" t="s">
        <v>162</v>
      </c>
      <c r="J27" s="24" t="s">
        <v>163</v>
      </c>
      <c r="K27" s="23">
        <v>382.5</v>
      </c>
      <c r="L27" s="23" t="s">
        <v>164</v>
      </c>
      <c r="M27" s="24" t="s">
        <v>109</v>
      </c>
      <c r="N27" s="24" t="s">
        <v>63</v>
      </c>
      <c r="O27" s="25" t="s">
        <v>145</v>
      </c>
      <c r="P27" s="26" t="s">
        <v>165</v>
      </c>
    </row>
    <row r="28" spans="1:16" ht="12.75" customHeight="1" thickBot="1" x14ac:dyDescent="0.25">
      <c r="A28" s="4" t="str">
        <f t="shared" si="0"/>
        <v>BAVM 231 </v>
      </c>
      <c r="B28" s="2" t="str">
        <f t="shared" si="1"/>
        <v>I</v>
      </c>
      <c r="C28" s="4">
        <f t="shared" si="2"/>
        <v>56272.3318</v>
      </c>
      <c r="D28" s="3" t="str">
        <f t="shared" si="3"/>
        <v>vis</v>
      </c>
      <c r="E28" s="22">
        <f>VLOOKUP(C28,'Active 1'!C$21:E$973,3,FALSE)</f>
        <v>731.00466185243408</v>
      </c>
      <c r="F28" s="2" t="s">
        <v>63</v>
      </c>
      <c r="G28" s="3" t="str">
        <f t="shared" si="4"/>
        <v>56272.3318</v>
      </c>
      <c r="H28" s="4">
        <f t="shared" si="5"/>
        <v>419</v>
      </c>
      <c r="I28" s="23" t="s">
        <v>166</v>
      </c>
      <c r="J28" s="24" t="s">
        <v>167</v>
      </c>
      <c r="K28" s="23">
        <v>419</v>
      </c>
      <c r="L28" s="23" t="s">
        <v>168</v>
      </c>
      <c r="M28" s="24" t="s">
        <v>109</v>
      </c>
      <c r="N28" s="24" t="s">
        <v>99</v>
      </c>
      <c r="O28" s="25" t="s">
        <v>169</v>
      </c>
      <c r="P28" s="26" t="s">
        <v>170</v>
      </c>
    </row>
    <row r="29" spans="1:16" ht="12.75" customHeight="1" thickBot="1" x14ac:dyDescent="0.25">
      <c r="A29" s="4" t="str">
        <f t="shared" si="0"/>
        <v>IBVS 5357 </v>
      </c>
      <c r="B29" s="2" t="str">
        <f t="shared" si="1"/>
        <v>II</v>
      </c>
      <c r="C29" s="4">
        <f t="shared" si="2"/>
        <v>52601.8776</v>
      </c>
      <c r="D29" s="3" t="str">
        <f t="shared" si="3"/>
        <v>vis</v>
      </c>
      <c r="E29" s="22">
        <f>VLOOKUP(C29,'Active 1'!C$21:E$973,3,FALSE)</f>
        <v>322.65404622602216</v>
      </c>
      <c r="F29" s="2" t="s">
        <v>63</v>
      </c>
      <c r="G29" s="3" t="str">
        <f t="shared" si="4"/>
        <v>52601.8776</v>
      </c>
      <c r="H29" s="4">
        <f t="shared" si="5"/>
        <v>10.5</v>
      </c>
      <c r="I29" s="23" t="s">
        <v>90</v>
      </c>
      <c r="J29" s="24" t="s">
        <v>91</v>
      </c>
      <c r="K29" s="23">
        <v>10.5</v>
      </c>
      <c r="L29" s="23" t="s">
        <v>92</v>
      </c>
      <c r="M29" s="24" t="s">
        <v>81</v>
      </c>
      <c r="N29" s="24" t="s">
        <v>93</v>
      </c>
      <c r="O29" s="25" t="s">
        <v>94</v>
      </c>
      <c r="P29" s="26" t="s">
        <v>95</v>
      </c>
    </row>
    <row r="30" spans="1:16" ht="12.75" customHeight="1" thickBot="1" x14ac:dyDescent="0.25">
      <c r="A30" s="4" t="str">
        <f t="shared" si="0"/>
        <v>IBVS 5910 </v>
      </c>
      <c r="B30" s="2" t="str">
        <f t="shared" si="1"/>
        <v>I</v>
      </c>
      <c r="C30" s="4">
        <f t="shared" si="2"/>
        <v>54438.664499999999</v>
      </c>
      <c r="D30" s="3" t="str">
        <f t="shared" si="3"/>
        <v>vis</v>
      </c>
      <c r="E30" s="22">
        <f>VLOOKUP(C30,'Active 1'!C$21:E$973,3,FALSE)</f>
        <v>527.002887137735</v>
      </c>
      <c r="F30" s="2" t="s">
        <v>63</v>
      </c>
      <c r="G30" s="3" t="str">
        <f t="shared" si="4"/>
        <v>54438.6645</v>
      </c>
      <c r="H30" s="4">
        <f t="shared" si="5"/>
        <v>215</v>
      </c>
      <c r="I30" s="23" t="s">
        <v>106</v>
      </c>
      <c r="J30" s="24" t="s">
        <v>107</v>
      </c>
      <c r="K30" s="23">
        <v>215</v>
      </c>
      <c r="L30" s="23" t="s">
        <v>108</v>
      </c>
      <c r="M30" s="24" t="s">
        <v>109</v>
      </c>
      <c r="N30" s="24" t="s">
        <v>63</v>
      </c>
      <c r="O30" s="25" t="s">
        <v>94</v>
      </c>
      <c r="P30" s="26" t="s">
        <v>110</v>
      </c>
    </row>
    <row r="31" spans="1:16" ht="12.75" customHeight="1" thickBot="1" x14ac:dyDescent="0.25">
      <c r="A31" s="4" t="str">
        <f t="shared" si="0"/>
        <v>IBVS 5910 </v>
      </c>
      <c r="B31" s="2" t="str">
        <f t="shared" si="1"/>
        <v>I</v>
      </c>
      <c r="C31" s="4">
        <f t="shared" si="2"/>
        <v>54447.654399999999</v>
      </c>
      <c r="D31" s="3" t="str">
        <f t="shared" si="3"/>
        <v>vis</v>
      </c>
      <c r="E31" s="22">
        <f>VLOOKUP(C31,'Active 1'!C$21:E$973,3,FALSE)</f>
        <v>528.00304433883025</v>
      </c>
      <c r="F31" s="2" t="s">
        <v>63</v>
      </c>
      <c r="G31" s="3" t="str">
        <f t="shared" si="4"/>
        <v>54447.6544</v>
      </c>
      <c r="H31" s="4">
        <f t="shared" si="5"/>
        <v>216</v>
      </c>
      <c r="I31" s="23" t="s">
        <v>111</v>
      </c>
      <c r="J31" s="24" t="s">
        <v>112</v>
      </c>
      <c r="K31" s="23">
        <v>216</v>
      </c>
      <c r="L31" s="23" t="s">
        <v>113</v>
      </c>
      <c r="M31" s="24" t="s">
        <v>109</v>
      </c>
      <c r="N31" s="24" t="s">
        <v>63</v>
      </c>
      <c r="O31" s="25" t="s">
        <v>94</v>
      </c>
      <c r="P31" s="26" t="s">
        <v>110</v>
      </c>
    </row>
    <row r="32" spans="1:16" ht="12.75" customHeight="1" thickBot="1" x14ac:dyDescent="0.25">
      <c r="A32" s="4" t="str">
        <f t="shared" si="0"/>
        <v>IBVS 5972 </v>
      </c>
      <c r="B32" s="2" t="str">
        <f t="shared" si="1"/>
        <v>I</v>
      </c>
      <c r="C32" s="4">
        <f t="shared" si="2"/>
        <v>55157.749400000001</v>
      </c>
      <c r="D32" s="3" t="str">
        <f t="shared" si="3"/>
        <v>vis</v>
      </c>
      <c r="E32" s="22">
        <f>VLOOKUP(C32,'Active 1'!C$21:E$973,3,FALSE)</f>
        <v>607.00354798310332</v>
      </c>
      <c r="F32" s="2" t="s">
        <v>63</v>
      </c>
      <c r="G32" s="3" t="str">
        <f t="shared" si="4"/>
        <v>55157.7494</v>
      </c>
      <c r="H32" s="4">
        <f t="shared" si="5"/>
        <v>295</v>
      </c>
      <c r="I32" s="23" t="s">
        <v>114</v>
      </c>
      <c r="J32" s="24" t="s">
        <v>115</v>
      </c>
      <c r="K32" s="23">
        <v>295</v>
      </c>
      <c r="L32" s="23" t="s">
        <v>116</v>
      </c>
      <c r="M32" s="24" t="s">
        <v>109</v>
      </c>
      <c r="N32" s="24" t="s">
        <v>63</v>
      </c>
      <c r="O32" s="25" t="s">
        <v>94</v>
      </c>
      <c r="P32" s="26" t="s">
        <v>117</v>
      </c>
    </row>
    <row r="33" spans="1:16" ht="12.75" customHeight="1" thickBot="1" x14ac:dyDescent="0.25">
      <c r="A33" s="4" t="str">
        <f t="shared" si="0"/>
        <v>IBVS 5972 </v>
      </c>
      <c r="B33" s="2" t="str">
        <f t="shared" si="1"/>
        <v>I</v>
      </c>
      <c r="C33" s="4">
        <f t="shared" si="2"/>
        <v>55175.7281</v>
      </c>
      <c r="D33" s="3" t="str">
        <f t="shared" si="3"/>
        <v>vis</v>
      </c>
      <c r="E33" s="22">
        <f>VLOOKUP(C33,'Active 1'!C$21:E$973,3,FALSE)</f>
        <v>609.00374000652164</v>
      </c>
      <c r="F33" s="2" t="s">
        <v>63</v>
      </c>
      <c r="G33" s="3" t="str">
        <f t="shared" si="4"/>
        <v>55175.7281</v>
      </c>
      <c r="H33" s="4">
        <f t="shared" si="5"/>
        <v>297</v>
      </c>
      <c r="I33" s="23" t="s">
        <v>118</v>
      </c>
      <c r="J33" s="24" t="s">
        <v>119</v>
      </c>
      <c r="K33" s="23">
        <v>297</v>
      </c>
      <c r="L33" s="23" t="s">
        <v>120</v>
      </c>
      <c r="M33" s="24" t="s">
        <v>109</v>
      </c>
      <c r="N33" s="24" t="s">
        <v>63</v>
      </c>
      <c r="O33" s="25" t="s">
        <v>94</v>
      </c>
      <c r="P33" s="26" t="s">
        <v>117</v>
      </c>
    </row>
    <row r="34" spans="1:16" ht="12.75" customHeight="1" thickBot="1" x14ac:dyDescent="0.25">
      <c r="A34" s="4" t="str">
        <f t="shared" si="0"/>
        <v>IBVS 5972 </v>
      </c>
      <c r="B34" s="2" t="str">
        <f t="shared" si="1"/>
        <v>II</v>
      </c>
      <c r="C34" s="4">
        <f t="shared" si="2"/>
        <v>55181.590400000001</v>
      </c>
      <c r="D34" s="3" t="str">
        <f t="shared" si="3"/>
        <v>vis</v>
      </c>
      <c r="E34" s="22">
        <f>VLOOKUP(C34,'Active 1'!C$21:E$973,3,FALSE)</f>
        <v>609.65594098317115</v>
      </c>
      <c r="F34" s="2" t="s">
        <v>63</v>
      </c>
      <c r="G34" s="3" t="str">
        <f t="shared" si="4"/>
        <v>55181.5904</v>
      </c>
      <c r="H34" s="4">
        <f t="shared" si="5"/>
        <v>297.5</v>
      </c>
      <c r="I34" s="23" t="s">
        <v>121</v>
      </c>
      <c r="J34" s="24" t="s">
        <v>122</v>
      </c>
      <c r="K34" s="23">
        <v>297.5</v>
      </c>
      <c r="L34" s="23" t="s">
        <v>123</v>
      </c>
      <c r="M34" s="24" t="s">
        <v>109</v>
      </c>
      <c r="N34" s="24" t="s">
        <v>63</v>
      </c>
      <c r="O34" s="25" t="s">
        <v>94</v>
      </c>
      <c r="P34" s="26" t="s">
        <v>117</v>
      </c>
    </row>
    <row r="35" spans="1:16" ht="12.75" customHeight="1" thickBot="1" x14ac:dyDescent="0.25">
      <c r="A35" s="4" t="str">
        <f t="shared" si="0"/>
        <v>IBVS 5972 </v>
      </c>
      <c r="B35" s="2" t="str">
        <f t="shared" si="1"/>
        <v>I</v>
      </c>
      <c r="C35" s="4">
        <f t="shared" si="2"/>
        <v>55202.690300000002</v>
      </c>
      <c r="D35" s="3" t="str">
        <f t="shared" si="3"/>
        <v>vis</v>
      </c>
      <c r="E35" s="22">
        <f>VLOOKUP(C35,'Active 1'!C$21:E$973,3,FALSE)</f>
        <v>612.00337720908999</v>
      </c>
      <c r="F35" s="2" t="s">
        <v>63</v>
      </c>
      <c r="G35" s="3" t="str">
        <f t="shared" si="4"/>
        <v>55202.6903</v>
      </c>
      <c r="H35" s="4">
        <f t="shared" si="5"/>
        <v>300</v>
      </c>
      <c r="I35" s="23" t="s">
        <v>124</v>
      </c>
      <c r="J35" s="24" t="s">
        <v>125</v>
      </c>
      <c r="K35" s="23">
        <v>300</v>
      </c>
      <c r="L35" s="23" t="s">
        <v>126</v>
      </c>
      <c r="M35" s="24" t="s">
        <v>109</v>
      </c>
      <c r="N35" s="24" t="s">
        <v>63</v>
      </c>
      <c r="O35" s="25" t="s">
        <v>94</v>
      </c>
      <c r="P35" s="26" t="s">
        <v>117</v>
      </c>
    </row>
    <row r="36" spans="1:16" ht="12.75" customHeight="1" thickBot="1" x14ac:dyDescent="0.25">
      <c r="A36" s="4" t="str">
        <f t="shared" si="0"/>
        <v>IBVS 5972 </v>
      </c>
      <c r="B36" s="2" t="str">
        <f t="shared" si="1"/>
        <v>II</v>
      </c>
      <c r="C36" s="4">
        <f t="shared" si="2"/>
        <v>55208.5573</v>
      </c>
      <c r="D36" s="3" t="str">
        <f t="shared" si="3"/>
        <v>vis</v>
      </c>
      <c r="E36" s="22">
        <f>VLOOKUP(C36,'Active 1'!C$21:E$973,3,FALSE)</f>
        <v>612.65610107685529</v>
      </c>
      <c r="F36" s="2" t="s">
        <v>63</v>
      </c>
      <c r="G36" s="3" t="str">
        <f t="shared" si="4"/>
        <v>55208.5573</v>
      </c>
      <c r="H36" s="4">
        <f t="shared" si="5"/>
        <v>300.5</v>
      </c>
      <c r="I36" s="23" t="s">
        <v>127</v>
      </c>
      <c r="J36" s="24" t="s">
        <v>128</v>
      </c>
      <c r="K36" s="23">
        <v>300.5</v>
      </c>
      <c r="L36" s="23" t="s">
        <v>129</v>
      </c>
      <c r="M36" s="24" t="s">
        <v>109</v>
      </c>
      <c r="N36" s="24" t="s">
        <v>63</v>
      </c>
      <c r="O36" s="25" t="s">
        <v>94</v>
      </c>
      <c r="P36" s="26" t="s">
        <v>117</v>
      </c>
    </row>
    <row r="37" spans="1:16" ht="12.75" customHeight="1" thickBot="1" x14ac:dyDescent="0.25">
      <c r="A37" s="4" t="str">
        <f t="shared" si="0"/>
        <v>IBVS 5972 </v>
      </c>
      <c r="B37" s="2" t="str">
        <f t="shared" si="1"/>
        <v>I</v>
      </c>
      <c r="C37" s="4">
        <f t="shared" si="2"/>
        <v>55247.636700000003</v>
      </c>
      <c r="D37" s="3" t="str">
        <f t="shared" si="3"/>
        <v>vis</v>
      </c>
      <c r="E37" s="22">
        <f>VLOOKUP(C37,'Active 1'!C$21:E$973,3,FALSE)</f>
        <v>617.00381832893595</v>
      </c>
      <c r="F37" s="2" t="s">
        <v>63</v>
      </c>
      <c r="G37" s="3" t="str">
        <f t="shared" si="4"/>
        <v>55247.6367</v>
      </c>
      <c r="H37" s="4">
        <f t="shared" si="5"/>
        <v>305</v>
      </c>
      <c r="I37" s="23" t="s">
        <v>130</v>
      </c>
      <c r="J37" s="24" t="s">
        <v>131</v>
      </c>
      <c r="K37" s="23">
        <v>305</v>
      </c>
      <c r="L37" s="23" t="s">
        <v>132</v>
      </c>
      <c r="M37" s="24" t="s">
        <v>109</v>
      </c>
      <c r="N37" s="24" t="s">
        <v>63</v>
      </c>
      <c r="O37" s="25" t="s">
        <v>94</v>
      </c>
      <c r="P37" s="26" t="s">
        <v>117</v>
      </c>
    </row>
    <row r="38" spans="1:16" ht="12.75" customHeight="1" thickBot="1" x14ac:dyDescent="0.25">
      <c r="A38" s="4" t="str">
        <f t="shared" si="0"/>
        <v>IBVS 5972 </v>
      </c>
      <c r="B38" s="2" t="str">
        <f t="shared" si="1"/>
        <v>I</v>
      </c>
      <c r="C38" s="4">
        <f t="shared" si="2"/>
        <v>55274.6011</v>
      </c>
      <c r="D38" s="3" t="str">
        <f t="shared" si="3"/>
        <v>vis</v>
      </c>
      <c r="E38" s="22">
        <f>VLOOKUP(C38,'Active 1'!C$21:E$973,3,FALSE)</f>
        <v>620.00370028904752</v>
      </c>
      <c r="F38" s="2" t="s">
        <v>63</v>
      </c>
      <c r="G38" s="3" t="str">
        <f t="shared" si="4"/>
        <v>55274.6011</v>
      </c>
      <c r="H38" s="4">
        <f t="shared" si="5"/>
        <v>308</v>
      </c>
      <c r="I38" s="23" t="s">
        <v>133</v>
      </c>
      <c r="J38" s="24" t="s">
        <v>134</v>
      </c>
      <c r="K38" s="23">
        <v>308</v>
      </c>
      <c r="L38" s="23" t="s">
        <v>135</v>
      </c>
      <c r="M38" s="24" t="s">
        <v>109</v>
      </c>
      <c r="N38" s="24" t="s">
        <v>63</v>
      </c>
      <c r="O38" s="25" t="s">
        <v>94</v>
      </c>
      <c r="P38" s="26" t="s">
        <v>117</v>
      </c>
    </row>
    <row r="39" spans="1:16" x14ac:dyDescent="0.2">
      <c r="B39" s="2"/>
      <c r="E39" s="22"/>
      <c r="F39" s="2"/>
    </row>
    <row r="40" spans="1:16" x14ac:dyDescent="0.2">
      <c r="B40" s="2"/>
      <c r="E40" s="22"/>
      <c r="F40" s="2"/>
    </row>
    <row r="41" spans="1:16" x14ac:dyDescent="0.2">
      <c r="B41" s="2"/>
      <c r="E41" s="22"/>
      <c r="F41" s="2"/>
    </row>
    <row r="42" spans="1:16" x14ac:dyDescent="0.2">
      <c r="B42" s="2"/>
      <c r="E42" s="22"/>
      <c r="F42" s="2"/>
    </row>
    <row r="43" spans="1:16" x14ac:dyDescent="0.2">
      <c r="B43" s="2"/>
      <c r="E43" s="22"/>
      <c r="F43" s="2"/>
    </row>
    <row r="44" spans="1:16" x14ac:dyDescent="0.2">
      <c r="B44" s="2"/>
      <c r="E44" s="22"/>
      <c r="F44" s="2"/>
    </row>
    <row r="45" spans="1:16" x14ac:dyDescent="0.2">
      <c r="B45" s="2"/>
      <c r="E45" s="22"/>
      <c r="F45" s="2"/>
    </row>
    <row r="46" spans="1:16" x14ac:dyDescent="0.2">
      <c r="B46" s="2"/>
      <c r="E46" s="22"/>
      <c r="F46" s="2"/>
    </row>
    <row r="47" spans="1:16" x14ac:dyDescent="0.2">
      <c r="B47" s="2"/>
      <c r="E47" s="22"/>
      <c r="F47" s="2"/>
    </row>
    <row r="48" spans="1:16" x14ac:dyDescent="0.2">
      <c r="B48" s="2"/>
      <c r="E48" s="22"/>
      <c r="F48" s="2"/>
    </row>
    <row r="49" spans="2:6" x14ac:dyDescent="0.2">
      <c r="B49" s="2"/>
      <c r="E49" s="22"/>
      <c r="F49" s="2"/>
    </row>
    <row r="50" spans="2:6" x14ac:dyDescent="0.2">
      <c r="B50" s="2"/>
      <c r="E50" s="2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</sheetData>
  <phoneticPr fontId="0" type="noConversion"/>
  <hyperlinks>
    <hyperlink ref="P11" r:id="rId1" display="http://www.konkoly.hu/cgi-bin/IBVS?4168"/>
    <hyperlink ref="P12" r:id="rId2" display="http://www.konkoly.hu/cgi-bin/IBVS?4168"/>
    <hyperlink ref="P13" r:id="rId3" display="http://www.konkoly.hu/cgi-bin/IBVS?4168"/>
    <hyperlink ref="P14" r:id="rId4" display="http://www.konkoly.hu/cgi-bin/IBVS?4168"/>
    <hyperlink ref="P15" r:id="rId5" display="http://www.konkoly.hu/cgi-bin/IBVS?4168"/>
    <hyperlink ref="P16" r:id="rId6" display="http://www.konkoly.hu/cgi-bin/IBVS?4168"/>
    <hyperlink ref="P29" r:id="rId7" display="http://www.konkoly.hu/cgi-bin/IBVS?5357"/>
    <hyperlink ref="P17" r:id="rId8" display="http://www.bav-astro.de/sfs/BAVM_link.php?BAVMnr=172"/>
    <hyperlink ref="P18" r:id="rId9" display="http://www.bav-astro.de/sfs/BAVM_link.php?BAVMnr=173"/>
    <hyperlink ref="P30" r:id="rId10" display="http://www.konkoly.hu/cgi-bin/IBVS?5910"/>
    <hyperlink ref="P31" r:id="rId11" display="http://www.konkoly.hu/cgi-bin/IBVS?5910"/>
    <hyperlink ref="P32" r:id="rId12" display="http://www.konkoly.hu/cgi-bin/IBVS?5972"/>
    <hyperlink ref="P33" r:id="rId13" display="http://www.konkoly.hu/cgi-bin/IBVS?5972"/>
    <hyperlink ref="P34" r:id="rId14" display="http://www.konkoly.hu/cgi-bin/IBVS?5972"/>
    <hyperlink ref="P35" r:id="rId15" display="http://www.konkoly.hu/cgi-bin/IBVS?5972"/>
    <hyperlink ref="P36" r:id="rId16" display="http://www.konkoly.hu/cgi-bin/IBVS?5972"/>
    <hyperlink ref="P37" r:id="rId17" display="http://www.konkoly.hu/cgi-bin/IBVS?5972"/>
    <hyperlink ref="P38" r:id="rId18" display="http://www.konkoly.hu/cgi-bin/IBVS?5972"/>
    <hyperlink ref="P19" r:id="rId19" display="http://www.konkoly.hu/cgi-bin/IBVS?6014"/>
    <hyperlink ref="P20" r:id="rId20" display="http://www.konkoly.hu/cgi-bin/IBVS?6014"/>
    <hyperlink ref="P21" r:id="rId21" display="http://www.konkoly.hu/cgi-bin/IBVS?6011"/>
    <hyperlink ref="P22" r:id="rId22" display="http://www.konkoly.hu/cgi-bin/IBVS?6014"/>
    <hyperlink ref="P23" r:id="rId23" display="http://www.konkoly.hu/cgi-bin/IBVS?6014"/>
    <hyperlink ref="P24" r:id="rId24" display="http://www.konkoly.hu/cgi-bin/IBVS?6014"/>
    <hyperlink ref="P25" r:id="rId25" display="http://www.konkoly.hu/cgi-bin/IBVS?6014"/>
    <hyperlink ref="P26" r:id="rId26" display="http://www.konkoly.hu/cgi-bin/IBVS?6014"/>
    <hyperlink ref="P27" r:id="rId27" display="http://www.konkoly.hu/cgi-bin/IBVS?6029"/>
    <hyperlink ref="P28" r:id="rId28" display="http://www.bav-astro.de/sfs/BAVM_link.php?BAVMnr=2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2024-03-07T06:15:19Z</dcterms:modified>
</cp:coreProperties>
</file>