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8C051B5-DADA-4EF7-A566-790A3B050022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  <sheet name="Active 3" sheetId="3" r:id="rId3"/>
  </sheets>
  <calcPr calcId="181029"/>
</workbook>
</file>

<file path=xl/calcChain.xml><?xml version="1.0" encoding="utf-8"?>
<calcChain xmlns="http://schemas.openxmlformats.org/spreadsheetml/2006/main">
  <c r="E39" i="2" l="1"/>
  <c r="F39" i="2"/>
  <c r="G39" i="2"/>
  <c r="K39" i="2"/>
  <c r="Q39" i="2"/>
  <c r="E40" i="2"/>
  <c r="F40" i="2"/>
  <c r="G40" i="2"/>
  <c r="K40" i="2"/>
  <c r="Q40" i="2"/>
  <c r="E41" i="2"/>
  <c r="F41" i="2"/>
  <c r="G41" i="2"/>
  <c r="K41" i="2"/>
  <c r="Q41" i="2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F11" i="1"/>
  <c r="G11" i="1"/>
  <c r="E15" i="1"/>
  <c r="C17" i="1"/>
  <c r="E21" i="1"/>
  <c r="F21" i="1"/>
  <c r="G21" i="1"/>
  <c r="J21" i="1"/>
  <c r="Q21" i="1"/>
  <c r="E22" i="1"/>
  <c r="F22" i="1"/>
  <c r="G22" i="1"/>
  <c r="J22" i="1"/>
  <c r="Q22" i="1"/>
  <c r="E23" i="1"/>
  <c r="F23" i="1"/>
  <c r="G23" i="1"/>
  <c r="I23" i="1"/>
  <c r="Q23" i="1"/>
  <c r="E24" i="1"/>
  <c r="F24" i="1"/>
  <c r="G24" i="1"/>
  <c r="J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C9" i="2"/>
  <c r="D9" i="2"/>
  <c r="F16" i="2"/>
  <c r="F17" i="2" s="1"/>
  <c r="C17" i="2"/>
  <c r="E21" i="2"/>
  <c r="F21" i="2"/>
  <c r="G21" i="2"/>
  <c r="J21" i="2"/>
  <c r="Q21" i="2"/>
  <c r="E22" i="2"/>
  <c r="F22" i="2"/>
  <c r="G22" i="2"/>
  <c r="K22" i="2"/>
  <c r="Q22" i="2"/>
  <c r="E23" i="2"/>
  <c r="F23" i="2"/>
  <c r="G23" i="2"/>
  <c r="K23" i="2"/>
  <c r="Q23" i="2"/>
  <c r="E24" i="2"/>
  <c r="F24" i="2"/>
  <c r="G24" i="2"/>
  <c r="K24" i="2"/>
  <c r="Q24" i="2"/>
  <c r="E25" i="2"/>
  <c r="F25" i="2"/>
  <c r="G25" i="2"/>
  <c r="K25" i="2"/>
  <c r="Q25" i="2"/>
  <c r="E26" i="2"/>
  <c r="F26" i="2"/>
  <c r="G26" i="2"/>
  <c r="K26" i="2"/>
  <c r="Q26" i="2"/>
  <c r="E27" i="2"/>
  <c r="F27" i="2"/>
  <c r="G27" i="2"/>
  <c r="J27" i="2"/>
  <c r="Q27" i="2"/>
  <c r="E28" i="2"/>
  <c r="F28" i="2"/>
  <c r="G28" i="2"/>
  <c r="K28" i="2"/>
  <c r="Q28" i="2"/>
  <c r="E29" i="2"/>
  <c r="F29" i="2"/>
  <c r="G29" i="2"/>
  <c r="K29" i="2"/>
  <c r="Q29" i="2"/>
  <c r="E30" i="2"/>
  <c r="F30" i="2"/>
  <c r="G30" i="2"/>
  <c r="K30" i="2"/>
  <c r="Q30" i="2"/>
  <c r="E31" i="2"/>
  <c r="F31" i="2"/>
  <c r="G31" i="2"/>
  <c r="K31" i="2"/>
  <c r="Q31" i="2"/>
  <c r="E32" i="2"/>
  <c r="F32" i="2"/>
  <c r="G32" i="2"/>
  <c r="K32" i="2"/>
  <c r="Q32" i="2"/>
  <c r="E33" i="2"/>
  <c r="F33" i="2"/>
  <c r="G33" i="2"/>
  <c r="K33" i="2"/>
  <c r="Q33" i="2"/>
  <c r="E34" i="2"/>
  <c r="F34" i="2"/>
  <c r="G34" i="2"/>
  <c r="K34" i="2"/>
  <c r="Q34" i="2"/>
  <c r="E35" i="2"/>
  <c r="F35" i="2"/>
  <c r="G35" i="2"/>
  <c r="K35" i="2"/>
  <c r="Q35" i="2"/>
  <c r="E36" i="2"/>
  <c r="F36" i="2"/>
  <c r="G36" i="2"/>
  <c r="K36" i="2"/>
  <c r="Q36" i="2"/>
  <c r="E37" i="2"/>
  <c r="F37" i="2"/>
  <c r="G37" i="2"/>
  <c r="K37" i="2"/>
  <c r="Q37" i="2"/>
  <c r="E38" i="2"/>
  <c r="F38" i="2"/>
  <c r="G38" i="2"/>
  <c r="K38" i="2"/>
  <c r="Q38" i="2"/>
  <c r="C9" i="3"/>
  <c r="D9" i="3"/>
  <c r="F16" i="3"/>
  <c r="C17" i="3"/>
  <c r="E21" i="3"/>
  <c r="F21" i="3"/>
  <c r="G21" i="3"/>
  <c r="J21" i="3"/>
  <c r="Q21" i="3"/>
  <c r="E22" i="3"/>
  <c r="F22" i="3"/>
  <c r="G22" i="3"/>
  <c r="K22" i="3"/>
  <c r="Q22" i="3"/>
  <c r="E23" i="3"/>
  <c r="F23" i="3"/>
  <c r="G23" i="3"/>
  <c r="K23" i="3"/>
  <c r="Q23" i="3"/>
  <c r="E24" i="3"/>
  <c r="F24" i="3"/>
  <c r="G24" i="3"/>
  <c r="K24" i="3"/>
  <c r="Q24" i="3"/>
  <c r="E25" i="3"/>
  <c r="F25" i="3"/>
  <c r="G25" i="3"/>
  <c r="K25" i="3"/>
  <c r="Q25" i="3"/>
  <c r="E26" i="3"/>
  <c r="F26" i="3"/>
  <c r="G26" i="3"/>
  <c r="K26" i="3"/>
  <c r="Q26" i="3"/>
  <c r="E27" i="3"/>
  <c r="F27" i="3"/>
  <c r="G27" i="3"/>
  <c r="J27" i="3"/>
  <c r="Q27" i="3"/>
  <c r="E28" i="3"/>
  <c r="F28" i="3"/>
  <c r="G28" i="3"/>
  <c r="K28" i="3"/>
  <c r="Q28" i="3"/>
  <c r="E29" i="3"/>
  <c r="F29" i="3"/>
  <c r="G29" i="3"/>
  <c r="K29" i="3"/>
  <c r="Q29" i="3"/>
  <c r="E30" i="3"/>
  <c r="F30" i="3"/>
  <c r="G30" i="3"/>
  <c r="K30" i="3"/>
  <c r="Q30" i="3"/>
  <c r="E31" i="3"/>
  <c r="F31" i="3"/>
  <c r="G31" i="3"/>
  <c r="K31" i="3"/>
  <c r="Q31" i="3"/>
  <c r="E32" i="3"/>
  <c r="F32" i="3"/>
  <c r="G32" i="3"/>
  <c r="K32" i="3"/>
  <c r="Q32" i="3"/>
  <c r="E33" i="3"/>
  <c r="F33" i="3"/>
  <c r="G33" i="3"/>
  <c r="K33" i="3"/>
  <c r="Q33" i="3"/>
  <c r="E34" i="3"/>
  <c r="F34" i="3"/>
  <c r="G34" i="3"/>
  <c r="K34" i="3"/>
  <c r="Q34" i="3"/>
  <c r="E35" i="3"/>
  <c r="F35" i="3"/>
  <c r="G35" i="3"/>
  <c r="K35" i="3"/>
  <c r="Q35" i="3"/>
  <c r="E36" i="3"/>
  <c r="F36" i="3"/>
  <c r="G36" i="3"/>
  <c r="K36" i="3"/>
  <c r="Q36" i="3"/>
  <c r="E37" i="3"/>
  <c r="F37" i="3"/>
  <c r="G37" i="3"/>
  <c r="K37" i="3"/>
  <c r="Q37" i="3"/>
  <c r="E38" i="3"/>
  <c r="F38" i="3"/>
  <c r="G38" i="3"/>
  <c r="K38" i="3"/>
  <c r="Q38" i="3"/>
  <c r="E39" i="3"/>
  <c r="F39" i="3"/>
  <c r="G39" i="3"/>
  <c r="K39" i="3"/>
  <c r="Q39" i="3"/>
  <c r="E40" i="3"/>
  <c r="F40" i="3"/>
  <c r="G40" i="3"/>
  <c r="K40" i="3"/>
  <c r="Q40" i="3"/>
  <c r="E41" i="3"/>
  <c r="F41" i="3"/>
  <c r="G41" i="3"/>
  <c r="K41" i="3"/>
  <c r="Q41" i="3"/>
  <c r="C11" i="2"/>
  <c r="C12" i="2"/>
  <c r="C11" i="3"/>
  <c r="C12" i="3"/>
  <c r="C11" i="1"/>
  <c r="C12" i="1"/>
  <c r="C16" i="1" l="1"/>
  <c r="D18" i="1" s="1"/>
  <c r="O35" i="1"/>
  <c r="O25" i="1"/>
  <c r="C15" i="1"/>
  <c r="O36" i="1"/>
  <c r="O27" i="1"/>
  <c r="O39" i="1"/>
  <c r="O21" i="1"/>
  <c r="O28" i="1"/>
  <c r="O22" i="1"/>
  <c r="O34" i="1"/>
  <c r="O32" i="1"/>
  <c r="O29" i="1"/>
  <c r="O41" i="1"/>
  <c r="O26" i="1"/>
  <c r="O30" i="1"/>
  <c r="O40" i="1"/>
  <c r="O33" i="1"/>
  <c r="O23" i="1"/>
  <c r="O37" i="1"/>
  <c r="O38" i="1"/>
  <c r="O24" i="1"/>
  <c r="O31" i="1"/>
  <c r="C16" i="3"/>
  <c r="D18" i="3" s="1"/>
  <c r="O25" i="3"/>
  <c r="O36" i="3"/>
  <c r="O22" i="3"/>
  <c r="O32" i="3"/>
  <c r="O29" i="3"/>
  <c r="O40" i="3"/>
  <c r="O26" i="3"/>
  <c r="O33" i="3"/>
  <c r="O27" i="3"/>
  <c r="O30" i="3"/>
  <c r="O37" i="3"/>
  <c r="O31" i="3"/>
  <c r="O34" i="3"/>
  <c r="O39" i="3"/>
  <c r="O24" i="3"/>
  <c r="O23" i="3"/>
  <c r="O21" i="3"/>
  <c r="O41" i="3"/>
  <c r="C15" i="3"/>
  <c r="O38" i="3"/>
  <c r="O28" i="3"/>
  <c r="O35" i="3"/>
  <c r="C16" i="2"/>
  <c r="D18" i="2" s="1"/>
  <c r="O39" i="2"/>
  <c r="O30" i="2"/>
  <c r="O37" i="2"/>
  <c r="O22" i="2"/>
  <c r="O23" i="2"/>
  <c r="O27" i="2"/>
  <c r="O40" i="2"/>
  <c r="O21" i="2"/>
  <c r="O26" i="2"/>
  <c r="O34" i="2"/>
  <c r="O24" i="2"/>
  <c r="O25" i="2"/>
  <c r="O32" i="2"/>
  <c r="O29" i="2"/>
  <c r="O41" i="2"/>
  <c r="O33" i="2"/>
  <c r="O38" i="2"/>
  <c r="O31" i="2"/>
  <c r="O35" i="2"/>
  <c r="O36" i="2"/>
  <c r="C15" i="2"/>
  <c r="O28" i="2"/>
  <c r="F17" i="3"/>
  <c r="F18" i="2" l="1"/>
  <c r="F19" i="2" s="1"/>
  <c r="C18" i="2"/>
  <c r="C18" i="1"/>
  <c r="E16" i="1"/>
  <c r="E17" i="1" s="1"/>
  <c r="C18" i="3"/>
  <c r="F18" i="3"/>
  <c r="F19" i="3" s="1"/>
</calcChain>
</file>

<file path=xl/sharedStrings.xml><?xml version="1.0" encoding="utf-8"?>
<sst xmlns="http://schemas.openxmlformats.org/spreadsheetml/2006/main" count="260" uniqueCount="59">
  <si>
    <t>V1234 Tau / GSC 0669-0674</t>
  </si>
  <si>
    <t>System Type:</t>
  </si>
  <si>
    <t>EW/KW</t>
  </si>
  <si>
    <t>GCVS 4 Eph.</t>
  </si>
  <si>
    <t>not avail.</t>
  </si>
  <si>
    <t>--- Working ----</t>
  </si>
  <si>
    <t>Epoch =</t>
  </si>
  <si>
    <t>IBVS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</si>
  <si>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</si>
  <si>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</si>
  <si>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</si>
  <si>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</si>
  <si>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</si>
  <si>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</si>
  <si>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</si>
  <si>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</si>
  <si>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</si>
  <si>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</si>
  <si>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JD today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</si>
  <si>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</si>
  <si>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</si>
  <si>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</si>
  <si>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</si>
  <si>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</si>
  <si>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</si>
  <si>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</si>
  <si>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</si>
  <si>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</si>
  <si>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</si>
  <si>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</si>
  <si>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</si>
  <si>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</si>
  <si>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</si>
  <si>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S4</t>
  </si>
  <si>
    <t>S5</t>
  </si>
  <si>
    <t>S6</t>
  </si>
  <si>
    <t>Misc</t>
  </si>
  <si>
    <t>Lin Fit</t>
  </si>
  <si>
    <t>Q. Fit</t>
  </si>
  <si>
    <t>Date</t>
  </si>
  <si>
    <t>IBVS 5484</t>
  </si>
  <si>
    <t>II</t>
  </si>
  <si>
    <t>IBVS 5260</t>
  </si>
  <si>
    <t>I</t>
  </si>
  <si>
    <t>IBVS 5871</t>
  </si>
  <si>
    <t>OEJV 0094</t>
  </si>
  <si>
    <t>OEJV 0107</t>
  </si>
  <si>
    <t>Add cycle</t>
  </si>
  <si>
    <t>Old Cycle</t>
  </si>
  <si>
    <t>pg</t>
  </si>
  <si>
    <t>vis</t>
  </si>
  <si>
    <t>PE</t>
  </si>
  <si>
    <t>CCD</t>
  </si>
  <si>
    <t>JAVSO..42..426</t>
  </si>
  <si>
    <t>OEJV 0179</t>
  </si>
  <si>
    <t>JAVSO..44…69</t>
  </si>
  <si>
    <t>VSB-064</t>
  </si>
  <si>
    <t>V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</si>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</sst>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mm/dd/yy\ hh:mm\ AM/PM"/>
    <numFmt numFmtId="168" formatCode="0.0000"/>
    <numFmt numFmtId="170" formatCode="dd/mm/yyyy"/>
  </numFmts>
  <fonts count="12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4"/>
        <bgColor indexed="49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1" fillId="0" borderId="0" applyFill="0" applyBorder="0" applyProtection="0">
      <alignment vertical="top"/>
    </xf>
    <xf numFmtId="164" fontId="11" fillId="0" borderId="0" applyFill="0" applyBorder="0" applyProtection="0">
      <alignment vertical="top"/>
    </xf>
    <xf numFmtId="0" fontId="11" fillId="0" borderId="0" applyFill="0" applyBorder="0" applyProtection="0">
      <alignment vertical="top"/>
    </xf>
    <xf numFmtId="2" fontId="11" fillId="0" borderId="0" applyFill="0" applyBorder="0" applyProtection="0">
      <alignment vertical="top"/>
    </xf>
    <xf numFmtId="0" fontId="11" fillId="0" borderId="0"/>
    <xf numFmtId="0" fontId="11" fillId="0" borderId="0"/>
  </cellStyleXfs>
  <cellXfs count="8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>
      <alignment vertical="top"/>
    </xf>
    <xf numFmtId="0" fontId="3" fillId="0" borderId="0" xfId="0" applyFont="1">
      <alignment vertical="top"/>
    </xf>
    <xf numFmtId="0" fontId="0" fillId="0" borderId="3" xfId="0" applyFont="1" applyBorder="1" applyAlignment="1">
      <alignment horizontal="center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/>
    <xf numFmtId="0" fontId="2" fillId="0" borderId="0" xfId="0" applyFont="1">
      <alignment vertical="top"/>
    </xf>
    <xf numFmtId="0" fontId="5" fillId="0" borderId="0" xfId="0" applyFont="1" applyAlignment="1">
      <alignment horizontal="center"/>
    </xf>
    <xf numFmtId="0" fontId="6" fillId="0" borderId="0" xfId="0" applyFont="1">
      <alignment vertical="top"/>
    </xf>
    <xf numFmtId="165" fontId="5" fillId="0" borderId="0" xfId="0" applyNumberFormat="1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6" fillId="0" borderId="0" xfId="0" applyFont="1" applyAlignment="1">
      <alignment vertical="top"/>
    </xf>
    <xf numFmtId="0" fontId="2" fillId="0" borderId="3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7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6" fillId="2" borderId="0" xfId="0" applyFont="1" applyFill="1" applyAlignment="1"/>
    <xf numFmtId="0" fontId="7" fillId="0" borderId="0" xfId="0" applyFont="1" applyFill="1">
      <alignment vertical="top"/>
    </xf>
    <xf numFmtId="0" fontId="7" fillId="0" borderId="0" xfId="0" applyFont="1">
      <alignment vertical="top"/>
    </xf>
    <xf numFmtId="0" fontId="9" fillId="3" borderId="0" xfId="0" applyFont="1" applyFill="1" applyAlignment="1"/>
    <xf numFmtId="0" fontId="7" fillId="0" borderId="0" xfId="5" applyFont="1"/>
    <xf numFmtId="0" fontId="7" fillId="0" borderId="0" xfId="5" applyFont="1" applyAlignment="1">
      <alignment horizontal="center"/>
    </xf>
    <xf numFmtId="0" fontId="7" fillId="0" borderId="0" xfId="5" applyFont="1" applyAlignment="1">
      <alignment horizontal="left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/>
    </xf>
    <xf numFmtId="0" fontId="10" fillId="0" borderId="0" xfId="6" applyFont="1" applyBorder="1" applyAlignment="1">
      <alignment horizontal="center"/>
    </xf>
    <xf numFmtId="168" fontId="10" fillId="0" borderId="0" xfId="6" applyNumberFormat="1" applyFont="1" applyFill="1" applyBorder="1" applyAlignment="1" applyProtection="1">
      <alignment horizontal="left" vertical="top"/>
    </xf>
    <xf numFmtId="0" fontId="10" fillId="0" borderId="0" xfId="6" applyNumberFormat="1" applyFont="1" applyFill="1" applyBorder="1" applyAlignment="1" applyProtection="1">
      <alignment horizontal="left" vertical="top"/>
    </xf>
    <xf numFmtId="0" fontId="5" fillId="4" borderId="0" xfId="0" applyFont="1" applyFill="1" applyAlignment="1"/>
    <xf numFmtId="0" fontId="8" fillId="0" borderId="0" xfId="5" applyFont="1"/>
    <xf numFmtId="0" fontId="8" fillId="0" borderId="0" xfId="5" applyFont="1" applyAlignment="1">
      <alignment horizontal="center"/>
    </xf>
    <xf numFmtId="0" fontId="8" fillId="0" borderId="0" xfId="5" applyFont="1" applyAlignment="1">
      <alignment horizontal="left"/>
    </xf>
    <xf numFmtId="170" fontId="0" fillId="0" borderId="0" xfId="0" applyNumberFormat="1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1" fillId="0" borderId="0" xfId="0" applyFont="1" applyAlignment="1">
      <alignment vertical="center"/>
    </xf>
    <xf numFmtId="167" fontId="5" fillId="0" borderId="0" xfId="0" applyNumberFormat="1" applyFont="1" applyAlignment="1">
      <alignment vertical="center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 (2)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V1234 Tau - O-C Diagr.</a:t>
            </a:r>
          </a:p>
        </c:rich>
      </c:tx>
      <c:layout>
        <c:manualLayout>
          <c:xMode val="edge"/>
          <c:yMode val="edge"/>
          <c:x val="0.3498402555910543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60170394036208"/>
          <c:y val="0.14687500000000001"/>
          <c:w val="0.78487752928647503"/>
          <c:h val="0.62812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6393</c:v>
                </c:pt>
                <c:pt idx="9">
                  <c:v>6209.5</c:v>
                </c:pt>
                <c:pt idx="10">
                  <c:v>6572.5</c:v>
                </c:pt>
                <c:pt idx="11">
                  <c:v>11211.5</c:v>
                </c:pt>
                <c:pt idx="12">
                  <c:v>11214</c:v>
                </c:pt>
                <c:pt idx="13">
                  <c:v>11229.5</c:v>
                </c:pt>
                <c:pt idx="14">
                  <c:v>13151.5</c:v>
                </c:pt>
                <c:pt idx="15">
                  <c:v>13151.5</c:v>
                </c:pt>
                <c:pt idx="16">
                  <c:v>12193.5</c:v>
                </c:pt>
                <c:pt idx="17">
                  <c:v>14865.5</c:v>
                </c:pt>
                <c:pt idx="18">
                  <c:v>14944</c:v>
                </c:pt>
                <c:pt idx="19">
                  <c:v>14944</c:v>
                </c:pt>
                <c:pt idx="20">
                  <c:v>14944</c:v>
                </c:pt>
              </c:numCache>
            </c:numRef>
          </c:xVal>
          <c:yVal>
            <c:numRef>
              <c:f>'Active 1'!$H$21:$H$500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50-46FB-9A6B-ACE22D2B86A1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6393</c:v>
                </c:pt>
                <c:pt idx="9">
                  <c:v>6209.5</c:v>
                </c:pt>
                <c:pt idx="10">
                  <c:v>6572.5</c:v>
                </c:pt>
                <c:pt idx="11">
                  <c:v>11211.5</c:v>
                </c:pt>
                <c:pt idx="12">
                  <c:v>11214</c:v>
                </c:pt>
                <c:pt idx="13">
                  <c:v>11229.5</c:v>
                </c:pt>
                <c:pt idx="14">
                  <c:v>13151.5</c:v>
                </c:pt>
                <c:pt idx="15">
                  <c:v>13151.5</c:v>
                </c:pt>
                <c:pt idx="16">
                  <c:v>12193.5</c:v>
                </c:pt>
                <c:pt idx="17">
                  <c:v>14865.5</c:v>
                </c:pt>
                <c:pt idx="18">
                  <c:v>14944</c:v>
                </c:pt>
                <c:pt idx="19">
                  <c:v>14944</c:v>
                </c:pt>
                <c:pt idx="20">
                  <c:v>14944</c:v>
                </c:pt>
              </c:numCache>
            </c:numRef>
          </c:xVal>
          <c:yVal>
            <c:numRef>
              <c:f>'Active 1'!$I$21:$I$500</c:f>
              <c:numCache>
                <c:formatCode>General</c:formatCode>
                <c:ptCount val="480"/>
                <c:pt idx="2">
                  <c:v>3.9999998989515007E-4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50-46FB-9A6B-ACE22D2B86A1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'Active 1'!$F$21:$F$500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6393</c:v>
                </c:pt>
                <c:pt idx="9">
                  <c:v>6209.5</c:v>
                </c:pt>
                <c:pt idx="10">
                  <c:v>6572.5</c:v>
                </c:pt>
                <c:pt idx="11">
                  <c:v>11211.5</c:v>
                </c:pt>
                <c:pt idx="12">
                  <c:v>11214</c:v>
                </c:pt>
                <c:pt idx="13">
                  <c:v>11229.5</c:v>
                </c:pt>
                <c:pt idx="14">
                  <c:v>13151.5</c:v>
                </c:pt>
                <c:pt idx="15">
                  <c:v>13151.5</c:v>
                </c:pt>
                <c:pt idx="16">
                  <c:v>12193.5</c:v>
                </c:pt>
                <c:pt idx="17">
                  <c:v>14865.5</c:v>
                </c:pt>
                <c:pt idx="18">
                  <c:v>14944</c:v>
                </c:pt>
                <c:pt idx="19">
                  <c:v>14944</c:v>
                </c:pt>
                <c:pt idx="20">
                  <c:v>14944</c:v>
                </c:pt>
              </c:numCache>
            </c:numRef>
          </c:xVal>
          <c:yVal>
            <c:numRef>
              <c:f>'Active 1'!$J$21:$J$500</c:f>
              <c:numCache>
                <c:formatCode>General</c:formatCode>
                <c:ptCount val="480"/>
                <c:pt idx="0">
                  <c:v>-7.9499999992549419E-3</c:v>
                </c:pt>
                <c:pt idx="1">
                  <c:v>-1.8499997822800651E-3</c:v>
                </c:pt>
                <c:pt idx="3">
                  <c:v>3.4999994386453182E-4</c:v>
                </c:pt>
                <c:pt idx="4">
                  <c:v>4.6199999269447289E-3</c:v>
                </c:pt>
                <c:pt idx="5">
                  <c:v>-2.6299999954062514E-3</c:v>
                </c:pt>
                <c:pt idx="6">
                  <c:v>-9.59999997576233E-4</c:v>
                </c:pt>
                <c:pt idx="7">
                  <c:v>-4.6000009024282917E-4</c:v>
                </c:pt>
                <c:pt idx="8">
                  <c:v>-7.2479999995266553E-2</c:v>
                </c:pt>
                <c:pt idx="9">
                  <c:v>-8.7849999996251427E-2</c:v>
                </c:pt>
                <c:pt idx="10">
                  <c:v>-5.8929999999236315E-2</c:v>
                </c:pt>
                <c:pt idx="11">
                  <c:v>-8.06899999952293E-2</c:v>
                </c:pt>
                <c:pt idx="12">
                  <c:v>-7.8239999995275866E-2</c:v>
                </c:pt>
                <c:pt idx="13">
                  <c:v>-7.6569999997445848E-2</c:v>
                </c:pt>
                <c:pt idx="14">
                  <c:v>6.3300000001618173E-2</c:v>
                </c:pt>
                <c:pt idx="15">
                  <c:v>6.7390000003797468E-2</c:v>
                </c:pt>
                <c:pt idx="16">
                  <c:v>-1.330999999481719E-2</c:v>
                </c:pt>
                <c:pt idx="17">
                  <c:v>8.3700000031967647E-3</c:v>
                </c:pt>
                <c:pt idx="18">
                  <c:v>1.0520000098040327E-2</c:v>
                </c:pt>
                <c:pt idx="19">
                  <c:v>1.1330000212183222E-2</c:v>
                </c:pt>
                <c:pt idx="20">
                  <c:v>1.1630000168224797E-2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50-46FB-9A6B-ACE22D2B86A1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6393</c:v>
                </c:pt>
                <c:pt idx="9">
                  <c:v>6209.5</c:v>
                </c:pt>
                <c:pt idx="10">
                  <c:v>6572.5</c:v>
                </c:pt>
                <c:pt idx="11">
                  <c:v>11211.5</c:v>
                </c:pt>
                <c:pt idx="12">
                  <c:v>11214</c:v>
                </c:pt>
                <c:pt idx="13">
                  <c:v>11229.5</c:v>
                </c:pt>
                <c:pt idx="14">
                  <c:v>13151.5</c:v>
                </c:pt>
                <c:pt idx="15">
                  <c:v>13151.5</c:v>
                </c:pt>
                <c:pt idx="16">
                  <c:v>12193.5</c:v>
                </c:pt>
                <c:pt idx="17">
                  <c:v>14865.5</c:v>
                </c:pt>
                <c:pt idx="18">
                  <c:v>14944</c:v>
                </c:pt>
                <c:pt idx="19">
                  <c:v>14944</c:v>
                </c:pt>
                <c:pt idx="20">
                  <c:v>14944</c:v>
                </c:pt>
              </c:numCache>
            </c:numRef>
          </c:xVal>
          <c:yVal>
            <c:numRef>
              <c:f>'Active 1'!$K$21:$K$500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50-46FB-9A6B-ACE22D2B86A1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6393</c:v>
                </c:pt>
                <c:pt idx="9">
                  <c:v>6209.5</c:v>
                </c:pt>
                <c:pt idx="10">
                  <c:v>6572.5</c:v>
                </c:pt>
                <c:pt idx="11">
                  <c:v>11211.5</c:v>
                </c:pt>
                <c:pt idx="12">
                  <c:v>11214</c:v>
                </c:pt>
                <c:pt idx="13">
                  <c:v>11229.5</c:v>
                </c:pt>
                <c:pt idx="14">
                  <c:v>13151.5</c:v>
                </c:pt>
                <c:pt idx="15">
                  <c:v>13151.5</c:v>
                </c:pt>
                <c:pt idx="16">
                  <c:v>12193.5</c:v>
                </c:pt>
                <c:pt idx="17">
                  <c:v>14865.5</c:v>
                </c:pt>
                <c:pt idx="18">
                  <c:v>14944</c:v>
                </c:pt>
                <c:pt idx="19">
                  <c:v>14944</c:v>
                </c:pt>
                <c:pt idx="20">
                  <c:v>14944</c:v>
                </c:pt>
              </c:numCache>
            </c:numRef>
          </c:xVal>
          <c:yVal>
            <c:numRef>
              <c:f>'Active 1'!$L$21:$L$500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50-46FB-9A6B-ACE22D2B86A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6393</c:v>
                </c:pt>
                <c:pt idx="9">
                  <c:v>6209.5</c:v>
                </c:pt>
                <c:pt idx="10">
                  <c:v>6572.5</c:v>
                </c:pt>
                <c:pt idx="11">
                  <c:v>11211.5</c:v>
                </c:pt>
                <c:pt idx="12">
                  <c:v>11214</c:v>
                </c:pt>
                <c:pt idx="13">
                  <c:v>11229.5</c:v>
                </c:pt>
                <c:pt idx="14">
                  <c:v>13151.5</c:v>
                </c:pt>
                <c:pt idx="15">
                  <c:v>13151.5</c:v>
                </c:pt>
                <c:pt idx="16">
                  <c:v>12193.5</c:v>
                </c:pt>
                <c:pt idx="17">
                  <c:v>14865.5</c:v>
                </c:pt>
                <c:pt idx="18">
                  <c:v>14944</c:v>
                </c:pt>
                <c:pt idx="19">
                  <c:v>14944</c:v>
                </c:pt>
                <c:pt idx="20">
                  <c:v>14944</c:v>
                </c:pt>
              </c:numCache>
            </c:numRef>
          </c:xVal>
          <c:yVal>
            <c:numRef>
              <c:f>'Active 1'!$M$21:$M$500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50-46FB-9A6B-ACE22D2B86A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6393</c:v>
                </c:pt>
                <c:pt idx="9">
                  <c:v>6209.5</c:v>
                </c:pt>
                <c:pt idx="10">
                  <c:v>6572.5</c:v>
                </c:pt>
                <c:pt idx="11">
                  <c:v>11211.5</c:v>
                </c:pt>
                <c:pt idx="12">
                  <c:v>11214</c:v>
                </c:pt>
                <c:pt idx="13">
                  <c:v>11229.5</c:v>
                </c:pt>
                <c:pt idx="14">
                  <c:v>13151.5</c:v>
                </c:pt>
                <c:pt idx="15">
                  <c:v>13151.5</c:v>
                </c:pt>
                <c:pt idx="16">
                  <c:v>12193.5</c:v>
                </c:pt>
                <c:pt idx="17">
                  <c:v>14865.5</c:v>
                </c:pt>
                <c:pt idx="18">
                  <c:v>14944</c:v>
                </c:pt>
                <c:pt idx="19">
                  <c:v>14944</c:v>
                </c:pt>
                <c:pt idx="20">
                  <c:v>14944</c:v>
                </c:pt>
              </c:numCache>
            </c:numRef>
          </c:xVal>
          <c:yVal>
            <c:numRef>
              <c:f>'Active 1'!$N$21:$N$500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50-46FB-9A6B-ACE22D2B86A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6393</c:v>
                </c:pt>
                <c:pt idx="9">
                  <c:v>6209.5</c:v>
                </c:pt>
                <c:pt idx="10">
                  <c:v>6572.5</c:v>
                </c:pt>
                <c:pt idx="11">
                  <c:v>11211.5</c:v>
                </c:pt>
                <c:pt idx="12">
                  <c:v>11214</c:v>
                </c:pt>
                <c:pt idx="13">
                  <c:v>11229.5</c:v>
                </c:pt>
                <c:pt idx="14">
                  <c:v>13151.5</c:v>
                </c:pt>
                <c:pt idx="15">
                  <c:v>13151.5</c:v>
                </c:pt>
                <c:pt idx="16">
                  <c:v>12193.5</c:v>
                </c:pt>
                <c:pt idx="17">
                  <c:v>14865.5</c:v>
                </c:pt>
                <c:pt idx="18">
                  <c:v>14944</c:v>
                </c:pt>
                <c:pt idx="19">
                  <c:v>14944</c:v>
                </c:pt>
                <c:pt idx="20">
                  <c:v>14944</c:v>
                </c:pt>
              </c:numCache>
            </c:numRef>
          </c:xVal>
          <c:yVal>
            <c:numRef>
              <c:f>'Active 1'!$O$21:$O$500</c:f>
              <c:numCache>
                <c:formatCode>General</c:formatCode>
                <c:ptCount val="480"/>
                <c:pt idx="0">
                  <c:v>-1.7454581578951332E-2</c:v>
                </c:pt>
                <c:pt idx="1">
                  <c:v>-1.7454581578951332E-2</c:v>
                </c:pt>
                <c:pt idx="2">
                  <c:v>-1.7453547201027101E-2</c:v>
                </c:pt>
                <c:pt idx="3">
                  <c:v>-1.745251282310287E-2</c:v>
                </c:pt>
                <c:pt idx="4">
                  <c:v>-1.7452305947518027E-2</c:v>
                </c:pt>
                <c:pt idx="5">
                  <c:v>-1.7451271569593797E-2</c:v>
                </c:pt>
                <c:pt idx="6">
                  <c:v>-1.7440720914766658E-2</c:v>
                </c:pt>
                <c:pt idx="7">
                  <c:v>-1.7440720914766658E-2</c:v>
                </c:pt>
                <c:pt idx="8">
                  <c:v>-1.4808435973188355E-2</c:v>
                </c:pt>
                <c:pt idx="9">
                  <c:v>-1.4884359312826773E-2</c:v>
                </c:pt>
                <c:pt idx="10">
                  <c:v>-1.4734167638228702E-2</c:v>
                </c:pt>
                <c:pt idx="11">
                  <c:v>-1.2814775962029117E-2</c:v>
                </c:pt>
                <c:pt idx="12">
                  <c:v>-1.2813741584104888E-2</c:v>
                </c:pt>
                <c:pt idx="13">
                  <c:v>-1.2807328440974666E-2</c:v>
                </c:pt>
                <c:pt idx="14">
                  <c:v>-1.2012098692827308E-2</c:v>
                </c:pt>
                <c:pt idx="15">
                  <c:v>-1.2012098692827308E-2</c:v>
                </c:pt>
                <c:pt idx="16">
                  <c:v>-1.2408472313391913E-2</c:v>
                </c:pt>
                <c:pt idx="17">
                  <c:v>-1.1302929187975812E-2</c:v>
                </c:pt>
                <c:pt idx="18">
                  <c:v>-1.1270449721155016E-2</c:v>
                </c:pt>
                <c:pt idx="19">
                  <c:v>-1.1270449721155016E-2</c:v>
                </c:pt>
                <c:pt idx="20">
                  <c:v>-1.1270449721155016E-2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50-46FB-9A6B-ACE22D2B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474856"/>
        <c:axId val="1"/>
      </c:scatterChart>
      <c:valAx>
        <c:axId val="984474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57188498402551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565495207667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44748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974440894568689"/>
          <c:y val="0.91249999999999998"/>
          <c:w val="0.7396166134185303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V1234 Tau - O-C Diagr.</a:t>
            </a:r>
          </a:p>
        </c:rich>
      </c:tx>
      <c:layout>
        <c:manualLayout>
          <c:xMode val="edge"/>
          <c:yMode val="edge"/>
          <c:x val="0.3489502584390198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78153740475492"/>
          <c:y val="0.15104166666666666"/>
          <c:w val="0.79052302630184146"/>
          <c:h val="0.6239583333333332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2'!$H$21:$H$500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E2-48F1-91FB-C9A20D407CA0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2'!$I$21:$I$500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E2-48F1-91FB-C9A20D407CA0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2'!$J$21:$J$500</c:f>
              <c:numCache>
                <c:formatCode>General</c:formatCode>
                <c:ptCount val="480"/>
                <c:pt idx="0">
                  <c:v>-7.9499999992549419E-3</c:v>
                </c:pt>
                <c:pt idx="6">
                  <c:v>-9.59999997576233E-4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E2-48F1-91FB-C9A20D407CA0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2'!$K$21:$K$500</c:f>
              <c:numCache>
                <c:formatCode>General</c:formatCode>
                <c:ptCount val="480"/>
                <c:pt idx="1">
                  <c:v>-1.8499997822800651E-3</c:v>
                </c:pt>
                <c:pt idx="2">
                  <c:v>3.9999998989515007E-4</c:v>
                </c:pt>
                <c:pt idx="3">
                  <c:v>3.4999994386453182E-4</c:v>
                </c:pt>
                <c:pt idx="4">
                  <c:v>4.6199999269447289E-3</c:v>
                </c:pt>
                <c:pt idx="5">
                  <c:v>-2.6299999954062514E-3</c:v>
                </c:pt>
                <c:pt idx="7">
                  <c:v>-4.6000009024282917E-4</c:v>
                </c:pt>
                <c:pt idx="8">
                  <c:v>0.5093100000085542</c:v>
                </c:pt>
                <c:pt idx="9">
                  <c:v>0.49394000000029337</c:v>
                </c:pt>
                <c:pt idx="10">
                  <c:v>0.52285999999730848</c:v>
                </c:pt>
                <c:pt idx="11">
                  <c:v>0.88896000000386266</c:v>
                </c:pt>
                <c:pt idx="12">
                  <c:v>0.89141000000381609</c:v>
                </c:pt>
                <c:pt idx="13">
                  <c:v>0.89308000000164611</c:v>
                </c:pt>
                <c:pt idx="14">
                  <c:v>1.0329500000007101</c:v>
                </c:pt>
                <c:pt idx="15">
                  <c:v>1.0370400000028894</c:v>
                </c:pt>
                <c:pt idx="16">
                  <c:v>0.95634000000427477</c:v>
                </c:pt>
                <c:pt idx="17">
                  <c:v>1.1719500000035623</c:v>
                </c:pt>
                <c:pt idx="18">
                  <c:v>1.1741000000984059</c:v>
                </c:pt>
                <c:pt idx="19">
                  <c:v>1.1749100002125488</c:v>
                </c:pt>
                <c:pt idx="20">
                  <c:v>1.1752100001685903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E2-48F1-91FB-C9A20D407CA0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2'!$L$21:$L$500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E2-48F1-91FB-C9A20D407CA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2'!$M$21:$M$500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E2-48F1-91FB-C9A20D407CA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2'!$N$21:$N$500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E2-48F1-91FB-C9A20D407CA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2'!$O$21:$O$500</c:f>
              <c:numCache>
                <c:formatCode>General</c:formatCode>
                <c:ptCount val="480"/>
                <c:pt idx="0">
                  <c:v>-4.9324630217884458E-4</c:v>
                </c:pt>
                <c:pt idx="1">
                  <c:v>-4.9324630217884458E-4</c:v>
                </c:pt>
                <c:pt idx="2">
                  <c:v>-2.9597773208811518E-4</c:v>
                </c:pt>
                <c:pt idx="3">
                  <c:v>-9.8709161997385714E-5</c:v>
                </c:pt>
                <c:pt idx="4">
                  <c:v>-5.9255447979239805E-5</c:v>
                </c:pt>
                <c:pt idx="5">
                  <c:v>1.3801312211148968E-4</c:v>
                </c:pt>
                <c:pt idx="6">
                  <c:v>2.1501525370369303E-3</c:v>
                </c:pt>
                <c:pt idx="7">
                  <c:v>2.1501525370369303E-3</c:v>
                </c:pt>
                <c:pt idx="8">
                  <c:v>0.50404084856187081</c:v>
                </c:pt>
                <c:pt idx="9">
                  <c:v>0.48956133551721132</c:v>
                </c:pt>
                <c:pt idx="10">
                  <c:v>0.51820473189438521</c:v>
                </c:pt>
                <c:pt idx="11">
                  <c:v>0.88417738312670657</c:v>
                </c:pt>
                <c:pt idx="12">
                  <c:v>0.8843746516967973</c:v>
                </c:pt>
                <c:pt idx="13">
                  <c:v>0.88559771683135979</c:v>
                </c:pt>
                <c:pt idx="14">
                  <c:v>1.0372577935171126</c:v>
                </c:pt>
                <c:pt idx="15">
                  <c:v>1.0372577935171126</c:v>
                </c:pt>
                <c:pt idx="16">
                  <c:v>0.96166447745834505</c:v>
                </c:pt>
                <c:pt idx="17">
                  <c:v>1.1724656714572985</c:v>
                </c:pt>
                <c:pt idx="18">
                  <c:v>1.1786599045581476</c:v>
                </c:pt>
                <c:pt idx="19">
                  <c:v>1.1786599045581476</c:v>
                </c:pt>
                <c:pt idx="20">
                  <c:v>1.1786599045581476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E2-48F1-91FB-C9A20D407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779536"/>
        <c:axId val="1"/>
      </c:scatterChart>
      <c:valAx>
        <c:axId val="89277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1166558542056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7795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783691416602"/>
          <c:y val="0.91249999999999998"/>
          <c:w val="0.67689873176192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V1234 Tau - O-C Diagr.</a:t>
            </a:r>
          </a:p>
        </c:rich>
      </c:tx>
      <c:layout>
        <c:manualLayout>
          <c:xMode val="edge"/>
          <c:yMode val="edge"/>
          <c:x val="0.3489502584390198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62752555768977"/>
          <c:y val="0.14687500000000001"/>
          <c:w val="0.79267703814890667"/>
          <c:h val="0.62812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3'!$H$21:$H$500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12-4188-BE3E-17DC09E9D21E}"/>
            </c:ext>
          </c:extLst>
        </c:ser>
        <c:ser>
          <c:idx val="1"/>
          <c:order val="1"/>
          <c:tx>
            <c:strRef>
              <c:f>'Active 3'!$I$20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3'!$F$21:$F$500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3'!$I$21:$I$500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12-4188-BE3E-17DC09E9D21E}"/>
            </c:ext>
          </c:extLst>
        </c:ser>
        <c:ser>
          <c:idx val="2"/>
          <c:order val="2"/>
          <c:tx>
            <c:strRef>
              <c:f>'Active 3'!$J$20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3'!$F$21:$F$500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3'!$J$21:$J$500</c:f>
              <c:numCache>
                <c:formatCode>General</c:formatCode>
                <c:ptCount val="480"/>
                <c:pt idx="0">
                  <c:v>-7.7522796782432124E-3</c:v>
                </c:pt>
                <c:pt idx="6">
                  <c:v>-3.4117319737561047E-3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12-4188-BE3E-17DC09E9D21E}"/>
            </c:ext>
          </c:extLst>
        </c:ser>
        <c:ser>
          <c:idx val="3"/>
          <c:order val="3"/>
          <c:tx>
            <c:strRef>
              <c:f>'Active 3'!$K$20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3'!$F$21:$F$500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3'!$K$21:$K$500</c:f>
              <c:numCache>
                <c:formatCode>General</c:formatCode>
                <c:ptCount val="480"/>
                <c:pt idx="1">
                  <c:v>-1.6522794612683356E-3</c:v>
                </c:pt>
                <c:pt idx="2">
                  <c:v>3.9999998989515007E-4</c:v>
                </c:pt>
                <c:pt idx="3">
                  <c:v>1.5227962285280228E-4</c:v>
                </c:pt>
                <c:pt idx="4">
                  <c:v>4.382735540275462E-3</c:v>
                </c:pt>
                <c:pt idx="5">
                  <c:v>-3.0649847030872479E-3</c:v>
                </c:pt>
                <c:pt idx="7">
                  <c:v>-2.9117320664227009E-3</c:v>
                </c:pt>
                <c:pt idx="8">
                  <c:v>3.8182280113687739E-3</c:v>
                </c:pt>
                <c:pt idx="9">
                  <c:v>2.9608995537273586E-3</c:v>
                </c:pt>
                <c:pt idx="10">
                  <c:v>3.1719089747639373E-3</c:v>
                </c:pt>
                <c:pt idx="11">
                  <c:v>2.4611699554952793E-3</c:v>
                </c:pt>
                <c:pt idx="12">
                  <c:v>4.713449627161026E-3</c:v>
                </c:pt>
                <c:pt idx="13">
                  <c:v>5.1575836405390874E-3</c:v>
                </c:pt>
                <c:pt idx="14">
                  <c:v>-6.9797989417565987E-3</c:v>
                </c:pt>
                <c:pt idx="15">
                  <c:v>-2.8897989395773038E-3</c:v>
                </c:pt>
                <c:pt idx="16">
                  <c:v>-7.8233720341813751E-3</c:v>
                </c:pt>
                <c:pt idx="17">
                  <c:v>-3.497306774079334E-3</c:v>
                </c:pt>
                <c:pt idx="18">
                  <c:v>-7.5557247546385042E-3</c:v>
                </c:pt>
                <c:pt idx="19">
                  <c:v>-6.7457246404956095E-3</c:v>
                </c:pt>
                <c:pt idx="20">
                  <c:v>-6.445724684454035E-3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12-4188-BE3E-17DC09E9D21E}"/>
            </c:ext>
          </c:extLst>
        </c:ser>
        <c:ser>
          <c:idx val="4"/>
          <c:order val="4"/>
          <c:tx>
            <c:strRef>
              <c:f>'Active 3'!$L$20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3'!$F$21:$F$500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3'!$L$21:$L$500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12-4188-BE3E-17DC09E9D21E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3'!$F$21:$F$500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3'!$M$21:$M$500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12-4188-BE3E-17DC09E9D21E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3'!$F$21:$F$500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3'!$N$21:$N$500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12-4188-BE3E-17DC09E9D21E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3'!$F$21:$F$500</c:f>
              <c:numCache>
                <c:formatCode>General</c:formatCode>
                <c:ptCount val="480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2.5</c:v>
                </c:pt>
                <c:pt idx="4">
                  <c:v>3</c:v>
                </c:pt>
                <c:pt idx="5">
                  <c:v>5.5</c:v>
                </c:pt>
                <c:pt idx="6">
                  <c:v>31</c:v>
                </c:pt>
                <c:pt idx="7">
                  <c:v>31</c:v>
                </c:pt>
                <c:pt idx="8">
                  <c:v>6391.5</c:v>
                </c:pt>
                <c:pt idx="9">
                  <c:v>6208</c:v>
                </c:pt>
                <c:pt idx="10">
                  <c:v>6571</c:v>
                </c:pt>
                <c:pt idx="11">
                  <c:v>11209</c:v>
                </c:pt>
                <c:pt idx="12">
                  <c:v>11211.5</c:v>
                </c:pt>
                <c:pt idx="13">
                  <c:v>11227</c:v>
                </c:pt>
                <c:pt idx="14">
                  <c:v>13149</c:v>
                </c:pt>
                <c:pt idx="15">
                  <c:v>13149</c:v>
                </c:pt>
                <c:pt idx="16">
                  <c:v>12191</c:v>
                </c:pt>
                <c:pt idx="17">
                  <c:v>14862.5</c:v>
                </c:pt>
                <c:pt idx="18">
                  <c:v>14941</c:v>
                </c:pt>
                <c:pt idx="19">
                  <c:v>14941</c:v>
                </c:pt>
                <c:pt idx="20">
                  <c:v>14941</c:v>
                </c:pt>
              </c:numCache>
            </c:numRef>
          </c:xVal>
          <c:yVal>
            <c:numRef>
              <c:f>'Active 3'!$O$21:$O$500</c:f>
              <c:numCache>
                <c:formatCode>General</c:formatCode>
                <c:ptCount val="480"/>
                <c:pt idx="0">
                  <c:v>-2.9552598108270167E-4</c:v>
                </c:pt>
                <c:pt idx="1">
                  <c:v>-2.9552598108270167E-4</c:v>
                </c:pt>
                <c:pt idx="2">
                  <c:v>-2.9597773172846255E-4</c:v>
                </c:pt>
                <c:pt idx="3">
                  <c:v>-2.9642948237422343E-4</c:v>
                </c:pt>
                <c:pt idx="4">
                  <c:v>-2.9651983250337556E-4</c:v>
                </c:pt>
                <c:pt idx="5">
                  <c:v>-2.9697158314913644E-4</c:v>
                </c:pt>
                <c:pt idx="6">
                  <c:v>-3.0157943973589728E-4</c:v>
                </c:pt>
                <c:pt idx="7">
                  <c:v>-3.0157943973589728E-4</c:v>
                </c:pt>
                <c:pt idx="8">
                  <c:v>-1.4509234326806949E-3</c:v>
                </c:pt>
                <c:pt idx="9">
                  <c:v>-1.4177649352818472E-3</c:v>
                </c:pt>
                <c:pt idx="10">
                  <c:v>-1.4833591290463251E-3</c:v>
                </c:pt>
                <c:pt idx="11">
                  <c:v>-2.3214469270618852E-3</c:v>
                </c:pt>
                <c:pt idx="12">
                  <c:v>-2.3218986777076463E-3</c:v>
                </c:pt>
                <c:pt idx="13">
                  <c:v>-2.3246995317113637E-3</c:v>
                </c:pt>
                <c:pt idx="14">
                  <c:v>-2.6720054281723178E-3</c:v>
                </c:pt>
                <c:pt idx="15">
                  <c:v>-2.6720054281723178E-3</c:v>
                </c:pt>
                <c:pt idx="16">
                  <c:v>-2.498894580716754E-3</c:v>
                </c:pt>
                <c:pt idx="17">
                  <c:v>-2.9816353207768164E-3</c:v>
                </c:pt>
                <c:pt idx="18">
                  <c:v>-2.9958202910537078E-3</c:v>
                </c:pt>
                <c:pt idx="19">
                  <c:v>-2.9958202910537078E-3</c:v>
                </c:pt>
                <c:pt idx="20">
                  <c:v>-2.9958202910537078E-3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12-4188-BE3E-17DC09E9D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773776"/>
        <c:axId val="1"/>
      </c:scatterChart>
      <c:valAx>
        <c:axId val="89277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7737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709225361369409"/>
          <c:y val="0.91249999999999998"/>
          <c:w val="0.67689873176192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0</xdr:row>
      <xdr:rowOff>28575</xdr:rowOff>
    </xdr:from>
    <xdr:to>
      <xdr:col>17</xdr:col>
      <xdr:colOff>57149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9E0F4C3-9AE1-C120-F0BF-A80F4E91D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381000</xdr:colOff>
      <xdr:row>18</xdr:row>
      <xdr:rowOff>38100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5D450244-ED21-D7F5-C473-1042B3F1E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533400</xdr:colOff>
      <xdr:row>18</xdr:row>
      <xdr:rowOff>133350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FC660794-B735-BAC2-A11D-E5A587C44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6.1406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s="52" customFormat="1" ht="20.25" x14ac:dyDescent="0.2">
      <c r="A1" s="81" t="s">
        <v>0</v>
      </c>
    </row>
    <row r="2" spans="1:7" s="52" customFormat="1" ht="12.95" customHeight="1" x14ac:dyDescent="0.2">
      <c r="A2" s="52" t="s">
        <v>1</v>
      </c>
      <c r="B2" s="52" t="s">
        <v>2</v>
      </c>
    </row>
    <row r="3" spans="1:7" s="52" customFormat="1" ht="12.95" customHeight="1" x14ac:dyDescent="0.2"/>
    <row r="4" spans="1:7" s="52" customFormat="1" ht="12.95" customHeight="1" x14ac:dyDescent="0.2">
      <c r="A4" s="53" t="s">
        <v>3</v>
      </c>
      <c r="C4" s="54" t="s">
        <v>4</v>
      </c>
      <c r="D4" s="55" t="s">
        <v>4</v>
      </c>
    </row>
    <row r="5" spans="1:7" s="52" customFormat="1" ht="12.95" customHeight="1" x14ac:dyDescent="0.2"/>
    <row r="6" spans="1:7" s="52" customFormat="1" ht="12.95" customHeight="1" x14ac:dyDescent="0.2">
      <c r="A6" s="53" t="s">
        <v>5</v>
      </c>
    </row>
    <row r="7" spans="1:7" s="52" customFormat="1" ht="12.95" customHeight="1" x14ac:dyDescent="0.2">
      <c r="A7" s="52" t="s">
        <v>6</v>
      </c>
      <c r="C7" s="52">
        <v>52308.290999999997</v>
      </c>
      <c r="D7" s="56" t="s">
        <v>7</v>
      </c>
    </row>
    <row r="8" spans="1:7" s="52" customFormat="1" ht="12.95" customHeight="1" x14ac:dyDescent="0.2">
      <c r="A8" s="52" t="s">
        <v>8</v>
      </c>
      <c r="C8" s="52">
        <v>0.38785999999999998</v>
      </c>
      <c r="D8" s="56">
        <v>5260</v>
      </c>
    </row>
    <row r="9" spans="1:7" s="52" customFormat="1" ht="12.95" customHeight="1" x14ac:dyDescent="0.2">
      <c r="A9" s="57" t="s">
        <v>9</v>
      </c>
      <c r="C9" s="58">
        <v>-9.5</v>
      </c>
      <c r="D9" s="52" t="s">
        <v>10</v>
      </c>
    </row>
    <row r="10" spans="1:7" s="52" customFormat="1" ht="12.95" customHeight="1" x14ac:dyDescent="0.2">
      <c r="C10" s="59" t="s">
        <v>11</v>
      </c>
      <c r="D10" s="59" t="s">
        <v>12</v>
      </c>
    </row>
    <row r="11" spans="1:7" s="52" customFormat="1" ht="12.95" customHeight="1" x14ac:dyDescent="0.2">
      <c r="A11" s="52" t="s">
        <v>13</v>
      </c>
      <c r="C11" s="60">
        <f ca="1">INTERCEPT(INDIRECT($G$11):G992,INDIRECT($F$11):F992)</f>
        <v>-1.7453547201027101E-2</v>
      </c>
      <c r="D11" s="61"/>
      <c r="F11" s="62" t="str">
        <f>"F"&amp;E19</f>
        <v>F21</v>
      </c>
      <c r="G11" s="60" t="str">
        <f>"G"&amp;E19</f>
        <v>G21</v>
      </c>
    </row>
    <row r="12" spans="1:7" s="52" customFormat="1" ht="12.95" customHeight="1" x14ac:dyDescent="0.2">
      <c r="A12" s="52" t="s">
        <v>14</v>
      </c>
      <c r="C12" s="60">
        <f ca="1">SLOPE(INDIRECT($G$11):G992,INDIRECT($F$11):F992)</f>
        <v>4.1375116969165446E-7</v>
      </c>
      <c r="D12" s="61"/>
    </row>
    <row r="13" spans="1:7" s="52" customFormat="1" ht="12.95" customHeight="1" x14ac:dyDescent="0.2">
      <c r="A13" s="52" t="s">
        <v>15</v>
      </c>
      <c r="C13" s="61" t="s">
        <v>16</v>
      </c>
      <c r="D13" s="61"/>
    </row>
    <row r="14" spans="1:7" s="52" customFormat="1" ht="12.95" customHeight="1" x14ac:dyDescent="0.2"/>
    <row r="15" spans="1:7" s="52" customFormat="1" ht="12.95" customHeight="1" x14ac:dyDescent="0.2">
      <c r="A15" s="53" t="s">
        <v>17</v>
      </c>
      <c r="C15" s="63">
        <f ca="1">(C7+C11)+(C8+C12)*INT(MAX(F21:F3533))</f>
        <v>58104.459569550272</v>
      </c>
      <c r="D15" s="64" t="s">
        <v>18</v>
      </c>
      <c r="E15" s="60">
        <f ca="1">TODAY()+15018.5-B9/24</f>
        <v>60376.5</v>
      </c>
    </row>
    <row r="16" spans="1:7" s="52" customFormat="1" ht="12.95" customHeight="1" x14ac:dyDescent="0.2">
      <c r="A16" s="53" t="s">
        <v>19</v>
      </c>
      <c r="C16" s="63">
        <f ca="1">+C8+C12</f>
        <v>0.3878604137511697</v>
      </c>
      <c r="D16" s="64" t="s">
        <v>20</v>
      </c>
      <c r="E16" s="60">
        <f ca="1">ROUND(2*(E15-C15)/C16,0)/2+1</f>
        <v>5859</v>
      </c>
    </row>
    <row r="17" spans="1:17" s="52" customFormat="1" ht="12.95" customHeight="1" x14ac:dyDescent="0.2">
      <c r="A17" s="64" t="s">
        <v>21</v>
      </c>
      <c r="C17" s="52">
        <f>COUNT(C21:C2191)</f>
        <v>21</v>
      </c>
      <c r="D17" s="64" t="s">
        <v>22</v>
      </c>
      <c r="E17" s="65">
        <f ca="1">+C15+C16*E16-15018.5-C9/24</f>
        <v>45358.829567051711</v>
      </c>
    </row>
    <row r="18" spans="1:17" s="52" customFormat="1" ht="12.95" customHeight="1" x14ac:dyDescent="0.2">
      <c r="A18" s="53" t="s">
        <v>23</v>
      </c>
      <c r="C18" s="66">
        <f ca="1">+C15</f>
        <v>58104.459569550272</v>
      </c>
      <c r="D18" s="67">
        <f ca="1">+C16</f>
        <v>0.3878604137511697</v>
      </c>
      <c r="E18" s="68" t="s">
        <v>24</v>
      </c>
    </row>
    <row r="19" spans="1:17" s="52" customFormat="1" ht="12.95" customHeight="1" x14ac:dyDescent="0.2">
      <c r="A19" s="64" t="s">
        <v>25</v>
      </c>
      <c r="E19" s="56">
        <v>21</v>
      </c>
    </row>
    <row r="20" spans="1:17" s="52" customFormat="1" ht="12.95" customHeight="1" x14ac:dyDescent="0.2">
      <c r="A20" s="59" t="s">
        <v>26</v>
      </c>
      <c r="B20" s="59" t="s">
        <v>27</v>
      </c>
      <c r="C20" s="59" t="s">
        <v>28</v>
      </c>
      <c r="D20" s="59" t="s">
        <v>29</v>
      </c>
      <c r="E20" s="59" t="s">
        <v>30</v>
      </c>
      <c r="F20" s="59" t="s">
        <v>31</v>
      </c>
      <c r="G20" s="59" t="s">
        <v>32</v>
      </c>
      <c r="H20" s="69" t="s">
        <v>7</v>
      </c>
      <c r="I20" s="69" t="s">
        <v>51</v>
      </c>
      <c r="J20" s="69" t="s">
        <v>52</v>
      </c>
      <c r="K20" s="69" t="s">
        <v>33</v>
      </c>
      <c r="L20" s="69" t="s">
        <v>34</v>
      </c>
      <c r="M20" s="69" t="s">
        <v>35</v>
      </c>
      <c r="N20" s="69" t="s">
        <v>36</v>
      </c>
      <c r="O20" s="69" t="s">
        <v>37</v>
      </c>
      <c r="P20" s="69" t="s">
        <v>38</v>
      </c>
      <c r="Q20" s="59" t="s">
        <v>39</v>
      </c>
    </row>
    <row r="21" spans="1:17" s="52" customFormat="1" ht="12.95" customHeight="1" x14ac:dyDescent="0.2">
      <c r="A21" s="22" t="s">
        <v>40</v>
      </c>
      <c r="B21" s="23" t="s">
        <v>41</v>
      </c>
      <c r="C21" s="24">
        <v>52307.313399999999</v>
      </c>
      <c r="D21" s="24">
        <v>5.9999999999999995E-4</v>
      </c>
      <c r="E21" s="52">
        <f t="shared" ref="E21:E28" si="0">+(C21-C$7)/C$8</f>
        <v>-2.5204970865733691</v>
      </c>
      <c r="F21" s="52">
        <f t="shared" ref="F21:F31" si="1">ROUND(2*E21,0)/2</f>
        <v>-2.5</v>
      </c>
      <c r="G21" s="52">
        <f t="shared" ref="G21:G28" si="2">+C21-(C$7+F21*C$8)</f>
        <v>-7.9499999992549419E-3</v>
      </c>
      <c r="J21" s="52">
        <f>+G21</f>
        <v>-7.9499999992549419E-3</v>
      </c>
      <c r="O21" s="52">
        <f t="shared" ref="O21:O28" ca="1" si="3">+C$11+C$12*$F21</f>
        <v>-1.7454581578951332E-2</v>
      </c>
      <c r="Q21" s="70">
        <f t="shared" ref="Q21:Q28" si="4">+C21-15018.5</f>
        <v>37288.813399999999</v>
      </c>
    </row>
    <row r="22" spans="1:17" s="52" customFormat="1" ht="12.95" customHeight="1" x14ac:dyDescent="0.2">
      <c r="A22" s="71" t="s">
        <v>42</v>
      </c>
      <c r="B22" s="61" t="s">
        <v>41</v>
      </c>
      <c r="C22" s="72">
        <v>52307.319500000216</v>
      </c>
      <c r="D22" s="72">
        <v>8.9999999999999998E-4</v>
      </c>
      <c r="E22" s="52">
        <f t="shared" si="0"/>
        <v>-2.5047697617216831</v>
      </c>
      <c r="F22" s="52">
        <f t="shared" si="1"/>
        <v>-2.5</v>
      </c>
      <c r="G22" s="52">
        <f t="shared" si="2"/>
        <v>-1.8499997822800651E-3</v>
      </c>
      <c r="J22" s="52">
        <f>+G22</f>
        <v>-1.8499997822800651E-3</v>
      </c>
      <c r="O22" s="52">
        <f t="shared" ca="1" si="3"/>
        <v>-1.7454581578951332E-2</v>
      </c>
      <c r="Q22" s="70">
        <f t="shared" si="4"/>
        <v>37288.819500000216</v>
      </c>
    </row>
    <row r="23" spans="1:17" s="52" customFormat="1" ht="12.95" customHeight="1" x14ac:dyDescent="0.2">
      <c r="A23" s="71" t="s">
        <v>42</v>
      </c>
      <c r="B23" s="61" t="s">
        <v>43</v>
      </c>
      <c r="C23" s="72">
        <v>52308.291399999987</v>
      </c>
      <c r="D23" s="72">
        <v>6.9999999999999999E-4</v>
      </c>
      <c r="E23" s="52">
        <f t="shared" si="0"/>
        <v>1.031299927538674E-3</v>
      </c>
      <c r="F23" s="52">
        <f t="shared" si="1"/>
        <v>0</v>
      </c>
      <c r="G23" s="52">
        <f t="shared" si="2"/>
        <v>3.9999998989515007E-4</v>
      </c>
      <c r="I23" s="52">
        <f t="shared" ref="I21:I28" si="5">+G23</f>
        <v>3.9999998989515007E-4</v>
      </c>
      <c r="O23" s="52">
        <f t="shared" ca="1" si="3"/>
        <v>-1.7453547201027101E-2</v>
      </c>
      <c r="Q23" s="70">
        <f t="shared" si="4"/>
        <v>37289.791399999987</v>
      </c>
    </row>
    <row r="24" spans="1:17" s="52" customFormat="1" ht="12.95" customHeight="1" x14ac:dyDescent="0.2">
      <c r="A24" s="71" t="s">
        <v>42</v>
      </c>
      <c r="B24" s="73" t="s">
        <v>41</v>
      </c>
      <c r="C24" s="72">
        <v>52309.26099999994</v>
      </c>
      <c r="D24" s="72">
        <v>5.9999999999999995E-4</v>
      </c>
      <c r="E24" s="52">
        <f t="shared" si="0"/>
        <v>2.5009023873123204</v>
      </c>
      <c r="F24" s="52">
        <f t="shared" si="1"/>
        <v>2.5</v>
      </c>
      <c r="G24" s="52">
        <f t="shared" si="2"/>
        <v>3.4999994386453182E-4</v>
      </c>
      <c r="J24" s="52">
        <f>+G24</f>
        <v>3.4999994386453182E-4</v>
      </c>
      <c r="O24" s="52">
        <f t="shared" ca="1" si="3"/>
        <v>-1.745251282310287E-2</v>
      </c>
      <c r="Q24" s="70">
        <f t="shared" si="4"/>
        <v>37290.76099999994</v>
      </c>
    </row>
    <row r="25" spans="1:17" s="52" customFormat="1" ht="12.95" customHeight="1" x14ac:dyDescent="0.2">
      <c r="A25" s="71" t="s">
        <v>42</v>
      </c>
      <c r="B25" s="61" t="s">
        <v>43</v>
      </c>
      <c r="C25" s="72">
        <v>52309.459199999925</v>
      </c>
      <c r="D25" s="72">
        <v>1.4E-3</v>
      </c>
      <c r="E25" s="52">
        <f t="shared" si="0"/>
        <v>3.0119115142765698</v>
      </c>
      <c r="F25" s="52">
        <f t="shared" si="1"/>
        <v>3</v>
      </c>
      <c r="G25" s="52">
        <f t="shared" si="2"/>
        <v>4.6199999269447289E-3</v>
      </c>
      <c r="J25" s="52">
        <f>+G25</f>
        <v>4.6199999269447289E-3</v>
      </c>
      <c r="O25" s="52">
        <f t="shared" ca="1" si="3"/>
        <v>-1.7452305947518027E-2</v>
      </c>
      <c r="Q25" s="70">
        <f t="shared" si="4"/>
        <v>37290.959199999925</v>
      </c>
    </row>
    <row r="26" spans="1:17" s="52" customFormat="1" ht="12.95" customHeight="1" x14ac:dyDescent="0.2">
      <c r="A26" s="71" t="s">
        <v>42</v>
      </c>
      <c r="B26" s="61" t="s">
        <v>41</v>
      </c>
      <c r="C26" s="72">
        <v>52310.421600000001</v>
      </c>
      <c r="D26" s="72">
        <v>1.1000000000000001E-3</v>
      </c>
      <c r="E26" s="52">
        <f t="shared" si="0"/>
        <v>5.4932192028155811</v>
      </c>
      <c r="F26" s="52">
        <f t="shared" si="1"/>
        <v>5.5</v>
      </c>
      <c r="G26" s="52">
        <f t="shared" si="2"/>
        <v>-2.6299999954062514E-3</v>
      </c>
      <c r="J26" s="52">
        <f>+G26</f>
        <v>-2.6299999954062514E-3</v>
      </c>
      <c r="O26" s="52">
        <f t="shared" ca="1" si="3"/>
        <v>-1.7451271569593797E-2</v>
      </c>
      <c r="Q26" s="70">
        <f t="shared" si="4"/>
        <v>37291.921600000001</v>
      </c>
    </row>
    <row r="27" spans="1:17" s="52" customFormat="1" ht="12.95" customHeight="1" x14ac:dyDescent="0.2">
      <c r="A27" s="22" t="s">
        <v>40</v>
      </c>
      <c r="B27" s="28"/>
      <c r="C27" s="24">
        <v>52320.313699999999</v>
      </c>
      <c r="D27" s="24">
        <v>5.0000000000000001E-4</v>
      </c>
      <c r="E27" s="52">
        <f t="shared" si="0"/>
        <v>30.997524880114863</v>
      </c>
      <c r="F27" s="52">
        <f t="shared" si="1"/>
        <v>31</v>
      </c>
      <c r="G27" s="52">
        <f t="shared" si="2"/>
        <v>-9.59999997576233E-4</v>
      </c>
      <c r="J27" s="52">
        <f>+G27</f>
        <v>-9.59999997576233E-4</v>
      </c>
      <c r="O27" s="52">
        <f t="shared" ca="1" si="3"/>
        <v>-1.7440720914766658E-2</v>
      </c>
      <c r="Q27" s="70">
        <f t="shared" si="4"/>
        <v>37301.813699999999</v>
      </c>
    </row>
    <row r="28" spans="1:17" s="52" customFormat="1" ht="12.95" customHeight="1" x14ac:dyDescent="0.2">
      <c r="A28" s="71" t="s">
        <v>42</v>
      </c>
      <c r="B28" s="61" t="s">
        <v>43</v>
      </c>
      <c r="C28" s="72">
        <v>52320.314199999906</v>
      </c>
      <c r="D28" s="72">
        <v>4.0000000000000002E-4</v>
      </c>
      <c r="E28" s="52">
        <f t="shared" si="0"/>
        <v>30.998814004817934</v>
      </c>
      <c r="F28" s="52">
        <f t="shared" si="1"/>
        <v>31</v>
      </c>
      <c r="G28" s="52">
        <f t="shared" si="2"/>
        <v>-4.6000009024282917E-4</v>
      </c>
      <c r="J28" s="52">
        <f>+G28</f>
        <v>-4.6000009024282917E-4</v>
      </c>
      <c r="O28" s="52">
        <f t="shared" ca="1" si="3"/>
        <v>-1.7440720914766658E-2</v>
      </c>
      <c r="Q28" s="70">
        <f t="shared" si="4"/>
        <v>37301.814199999906</v>
      </c>
    </row>
    <row r="29" spans="1:17" s="52" customFormat="1" ht="12.95" customHeight="1" x14ac:dyDescent="0.2">
      <c r="A29" s="22" t="s">
        <v>44</v>
      </c>
      <c r="B29" s="74" t="s">
        <v>41</v>
      </c>
      <c r="C29" s="22">
        <v>54787.807500000003</v>
      </c>
      <c r="D29" s="22">
        <v>1.4E-3</v>
      </c>
      <c r="E29" s="52">
        <f>+(C29-C$7)/C$8</f>
        <v>6392.8131284484225</v>
      </c>
      <c r="F29" s="52">
        <f t="shared" si="1"/>
        <v>6393</v>
      </c>
      <c r="G29" s="52">
        <f>+C29-(C$7+F29*C$8)</f>
        <v>-7.2479999995266553E-2</v>
      </c>
      <c r="J29" s="52">
        <f>+G29</f>
        <v>-7.2479999995266553E-2</v>
      </c>
      <c r="O29" s="52">
        <f ca="1">+C$11+C$12*$F29</f>
        <v>-1.4808435973188355E-2</v>
      </c>
      <c r="Q29" s="70">
        <f>+C29-15018.5</f>
        <v>39769.307500000003</v>
      </c>
    </row>
    <row r="30" spans="1:17" s="52" customFormat="1" ht="12.95" customHeight="1" x14ac:dyDescent="0.2">
      <c r="A30" s="75" t="s">
        <v>45</v>
      </c>
      <c r="B30" s="76" t="s">
        <v>41</v>
      </c>
      <c r="C30" s="75">
        <v>54716.61982</v>
      </c>
      <c r="D30" s="75">
        <v>5.9999999999999995E-4</v>
      </c>
      <c r="E30" s="52">
        <f>+(C30-C$7)/C$8</f>
        <v>6209.2735007476995</v>
      </c>
      <c r="F30" s="52">
        <f t="shared" si="1"/>
        <v>6209.5</v>
      </c>
      <c r="G30" s="52">
        <f>+C30-(C$7+F30*C$8)</f>
        <v>-8.7849999996251427E-2</v>
      </c>
      <c r="J30" s="52">
        <f>+G30</f>
        <v>-8.7849999996251427E-2</v>
      </c>
      <c r="O30" s="52">
        <f ca="1">+C$11+C$12*$F30</f>
        <v>-1.4884359312826773E-2</v>
      </c>
      <c r="Q30" s="70">
        <f>+C30-15018.5</f>
        <v>39698.11982</v>
      </c>
    </row>
    <row r="31" spans="1:17" s="52" customFormat="1" ht="12.95" customHeight="1" x14ac:dyDescent="0.2">
      <c r="A31" s="77" t="s">
        <v>46</v>
      </c>
      <c r="B31" s="76" t="s">
        <v>41</v>
      </c>
      <c r="C31" s="75">
        <v>54857.441919999997</v>
      </c>
      <c r="D31" s="75">
        <v>2.9999999999999997E-4</v>
      </c>
      <c r="E31" s="52">
        <f>+(C31-C$7)/C$8</f>
        <v>6572.3480637343373</v>
      </c>
      <c r="F31" s="52">
        <f t="shared" si="1"/>
        <v>6572.5</v>
      </c>
      <c r="G31" s="52">
        <f>+C31-(C$7+F31*C$8)</f>
        <v>-5.8929999999236315E-2</v>
      </c>
      <c r="J31" s="52">
        <f>+G31</f>
        <v>-5.8929999999236315E-2</v>
      </c>
      <c r="O31" s="52">
        <f ca="1">+C$11+C$12*$F31</f>
        <v>-1.4734167638228702E-2</v>
      </c>
      <c r="Q31" s="70">
        <f>+C31-15018.5</f>
        <v>39838.941919999997</v>
      </c>
    </row>
    <row r="32" spans="1:17" s="52" customFormat="1" ht="12.95" customHeight="1" x14ac:dyDescent="0.2">
      <c r="A32" s="71" t="s">
        <v>53</v>
      </c>
      <c r="B32" s="74" t="s">
        <v>43</v>
      </c>
      <c r="C32" s="22">
        <v>56656.702700000002</v>
      </c>
      <c r="D32" s="22">
        <v>2.0000000000000001E-4</v>
      </c>
      <c r="E32" s="52">
        <f t="shared" ref="E32:E41" si="6">+(C32-C$7)/C$8</f>
        <v>11211.291961016874</v>
      </c>
      <c r="F32" s="52">
        <f t="shared" ref="F32:F41" si="7">ROUND(2*E32,0)/2</f>
        <v>11211.5</v>
      </c>
      <c r="G32" s="52">
        <f t="shared" ref="G32:G41" si="8">+C32-(C$7+F32*C$8)</f>
        <v>-8.06899999952293E-2</v>
      </c>
      <c r="J32" s="52">
        <f t="shared" ref="J32:J41" si="9">+G32</f>
        <v>-8.06899999952293E-2</v>
      </c>
      <c r="O32" s="52">
        <f t="shared" ref="O32:O41" ca="1" si="10">+C$11+C$12*$F32</f>
        <v>-1.2814775962029117E-2</v>
      </c>
      <c r="Q32" s="70">
        <f t="shared" ref="Q32:Q41" si="11">+C32-15018.5</f>
        <v>41638.202700000002</v>
      </c>
    </row>
    <row r="33" spans="1:17" s="52" customFormat="1" ht="12.95" customHeight="1" x14ac:dyDescent="0.2">
      <c r="A33" s="71" t="s">
        <v>53</v>
      </c>
      <c r="B33" s="74" t="s">
        <v>41</v>
      </c>
      <c r="C33" s="22">
        <v>56657.674800000001</v>
      </c>
      <c r="D33" s="22">
        <v>2.9999999999999997E-4</v>
      </c>
      <c r="E33" s="52">
        <f t="shared" si="6"/>
        <v>11213.798277729087</v>
      </c>
      <c r="F33" s="52">
        <f t="shared" si="7"/>
        <v>11214</v>
      </c>
      <c r="G33" s="52">
        <f t="shared" si="8"/>
        <v>-7.8239999995275866E-2</v>
      </c>
      <c r="J33" s="52">
        <f t="shared" si="9"/>
        <v>-7.8239999995275866E-2</v>
      </c>
      <c r="O33" s="52">
        <f t="shared" ca="1" si="10"/>
        <v>-1.2813741584104888E-2</v>
      </c>
      <c r="Q33" s="70">
        <f t="shared" si="11"/>
        <v>41639.174800000001</v>
      </c>
    </row>
    <row r="34" spans="1:17" s="52" customFormat="1" ht="12.95" customHeight="1" x14ac:dyDescent="0.2">
      <c r="A34" s="71" t="s">
        <v>53</v>
      </c>
      <c r="B34" s="74" t="s">
        <v>43</v>
      </c>
      <c r="C34" s="22">
        <v>56663.688300000002</v>
      </c>
      <c r="D34" s="22">
        <v>2.0000000000000001E-4</v>
      </c>
      <c r="E34" s="52">
        <f t="shared" si="6"/>
        <v>11229.302583406396</v>
      </c>
      <c r="F34" s="52">
        <f t="shared" si="7"/>
        <v>11229.5</v>
      </c>
      <c r="G34" s="52">
        <f t="shared" si="8"/>
        <v>-7.6569999997445848E-2</v>
      </c>
      <c r="J34" s="52">
        <f t="shared" si="9"/>
        <v>-7.6569999997445848E-2</v>
      </c>
      <c r="O34" s="52">
        <f t="shared" ca="1" si="10"/>
        <v>-1.2807328440974666E-2</v>
      </c>
      <c r="Q34" s="70">
        <f t="shared" si="11"/>
        <v>41645.188300000002</v>
      </c>
    </row>
    <row r="35" spans="1:17" s="52" customFormat="1" ht="12.95" customHeight="1" x14ac:dyDescent="0.2">
      <c r="A35" s="78" t="s">
        <v>54</v>
      </c>
      <c r="B35" s="79" t="s">
        <v>43</v>
      </c>
      <c r="C35" s="80">
        <v>57409.29509</v>
      </c>
      <c r="D35" s="80">
        <v>8.0000000000000004E-4</v>
      </c>
      <c r="E35" s="52">
        <f t="shared" si="6"/>
        <v>13151.663203217662</v>
      </c>
      <c r="F35" s="52">
        <f t="shared" si="7"/>
        <v>13151.5</v>
      </c>
      <c r="G35" s="52">
        <f t="shared" si="8"/>
        <v>6.3300000001618173E-2</v>
      </c>
      <c r="J35" s="52">
        <f t="shared" si="9"/>
        <v>6.3300000001618173E-2</v>
      </c>
      <c r="O35" s="52">
        <f t="shared" ca="1" si="10"/>
        <v>-1.2012098692827308E-2</v>
      </c>
      <c r="Q35" s="70">
        <f t="shared" si="11"/>
        <v>42390.79509</v>
      </c>
    </row>
    <row r="36" spans="1:17" x14ac:dyDescent="0.2">
      <c r="A36" s="38" t="s">
        <v>54</v>
      </c>
      <c r="B36" s="39" t="s">
        <v>43</v>
      </c>
      <c r="C36" s="40">
        <v>57409.299180000002</v>
      </c>
      <c r="D36" s="40">
        <v>1.2999999999999999E-3</v>
      </c>
      <c r="E36" s="1">
        <f t="shared" si="6"/>
        <v>13151.673748259693</v>
      </c>
      <c r="F36" s="1">
        <f t="shared" si="7"/>
        <v>13151.5</v>
      </c>
      <c r="G36" s="1">
        <f t="shared" si="8"/>
        <v>6.7390000003797468E-2</v>
      </c>
      <c r="J36" s="1">
        <f t="shared" si="9"/>
        <v>6.7390000003797468E-2</v>
      </c>
      <c r="O36" s="1">
        <f t="shared" ca="1" si="10"/>
        <v>-1.2012098692827308E-2</v>
      </c>
      <c r="Q36" s="51">
        <f t="shared" si="11"/>
        <v>42390.799180000002</v>
      </c>
    </row>
    <row r="37" spans="1:17" x14ac:dyDescent="0.2">
      <c r="A37" s="41" t="s">
        <v>55</v>
      </c>
      <c r="B37" s="42" t="s">
        <v>43</v>
      </c>
      <c r="C37" s="41">
        <v>57037.6486</v>
      </c>
      <c r="D37" s="41">
        <v>4.0000000000000002E-4</v>
      </c>
      <c r="E37" s="1">
        <f t="shared" si="6"/>
        <v>12193.465683494052</v>
      </c>
      <c r="F37" s="1">
        <f t="shared" si="7"/>
        <v>12193.5</v>
      </c>
      <c r="G37" s="1">
        <f t="shared" si="8"/>
        <v>-1.330999999481719E-2</v>
      </c>
      <c r="J37" s="1">
        <f t="shared" si="9"/>
        <v>-1.330999999481719E-2</v>
      </c>
      <c r="O37" s="1">
        <f t="shared" ca="1" si="10"/>
        <v>-1.2408472313391913E-2</v>
      </c>
      <c r="Q37" s="51">
        <f t="shared" si="11"/>
        <v>42019.1486</v>
      </c>
    </row>
    <row r="38" spans="1:17" x14ac:dyDescent="0.2">
      <c r="A38" s="43" t="s">
        <v>56</v>
      </c>
      <c r="B38" s="44" t="s">
        <v>41</v>
      </c>
      <c r="C38" s="45">
        <v>58074.032200000001</v>
      </c>
      <c r="D38" s="46" t="s">
        <v>57</v>
      </c>
      <c r="E38" s="1">
        <f t="shared" si="6"/>
        <v>14865.521579951541</v>
      </c>
      <c r="F38" s="1">
        <f t="shared" si="7"/>
        <v>14865.5</v>
      </c>
      <c r="G38" s="1">
        <f t="shared" si="8"/>
        <v>8.3700000031967647E-3</v>
      </c>
      <c r="J38" s="1">
        <f t="shared" si="9"/>
        <v>8.3700000031967647E-3</v>
      </c>
      <c r="O38" s="1">
        <f t="shared" ca="1" si="10"/>
        <v>-1.1302929187975812E-2</v>
      </c>
      <c r="Q38" s="51">
        <f t="shared" si="11"/>
        <v>43055.532200000001</v>
      </c>
    </row>
    <row r="39" spans="1:17" x14ac:dyDescent="0.2">
      <c r="A39" s="48" t="s">
        <v>58</v>
      </c>
      <c r="B39" s="49" t="s">
        <v>43</v>
      </c>
      <c r="C39" s="50">
        <v>58104.481360000093</v>
      </c>
      <c r="D39" s="50">
        <v>6.9999999999999999E-4</v>
      </c>
      <c r="E39" s="1">
        <f t="shared" si="6"/>
        <v>14944.027123189026</v>
      </c>
      <c r="F39" s="1">
        <f t="shared" si="7"/>
        <v>14944</v>
      </c>
      <c r="G39" s="1">
        <f t="shared" si="8"/>
        <v>1.0520000098040327E-2</v>
      </c>
      <c r="J39" s="1">
        <f t="shared" si="9"/>
        <v>1.0520000098040327E-2</v>
      </c>
      <c r="O39" s="1">
        <f t="shared" ca="1" si="10"/>
        <v>-1.1270449721155016E-2</v>
      </c>
      <c r="Q39" s="51">
        <f t="shared" si="11"/>
        <v>43085.981360000093</v>
      </c>
    </row>
    <row r="40" spans="1:17" x14ac:dyDescent="0.2">
      <c r="A40" s="48" t="s">
        <v>58</v>
      </c>
      <c r="B40" s="49" t="s">
        <v>43</v>
      </c>
      <c r="C40" s="50">
        <v>58104.482170000207</v>
      </c>
      <c r="D40" s="50">
        <v>5.0000000000000001E-4</v>
      </c>
      <c r="E40" s="1">
        <f t="shared" si="6"/>
        <v>14944.029211571726</v>
      </c>
      <c r="F40" s="1">
        <f t="shared" si="7"/>
        <v>14944</v>
      </c>
      <c r="G40" s="1">
        <f t="shared" si="8"/>
        <v>1.1330000212183222E-2</v>
      </c>
      <c r="J40" s="1">
        <f t="shared" si="9"/>
        <v>1.1330000212183222E-2</v>
      </c>
      <c r="O40" s="1">
        <f t="shared" ca="1" si="10"/>
        <v>-1.1270449721155016E-2</v>
      </c>
      <c r="Q40" s="51">
        <f t="shared" si="11"/>
        <v>43085.982170000207</v>
      </c>
    </row>
    <row r="41" spans="1:17" x14ac:dyDescent="0.2">
      <c r="A41" s="48" t="s">
        <v>58</v>
      </c>
      <c r="B41" s="49" t="s">
        <v>43</v>
      </c>
      <c r="C41" s="50">
        <v>58104.482470000163</v>
      </c>
      <c r="D41" s="50">
        <v>2.0999999999999999E-3</v>
      </c>
      <c r="E41" s="1">
        <f t="shared" si="6"/>
        <v>14944.029985046578</v>
      </c>
      <c r="F41" s="1">
        <f t="shared" si="7"/>
        <v>14944</v>
      </c>
      <c r="G41" s="1">
        <f t="shared" si="8"/>
        <v>1.1630000168224797E-2</v>
      </c>
      <c r="J41" s="1">
        <f t="shared" si="9"/>
        <v>1.1630000168224797E-2</v>
      </c>
      <c r="O41" s="1">
        <f t="shared" ca="1" si="10"/>
        <v>-1.1270449721155016E-2</v>
      </c>
      <c r="Q41" s="51">
        <f t="shared" si="11"/>
        <v>43085.982470000163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41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s="52" customFormat="1" ht="20.25" x14ac:dyDescent="0.2">
      <c r="A1" s="81" t="s">
        <v>0</v>
      </c>
    </row>
    <row r="2" spans="1:6" s="52" customFormat="1" ht="12.75" customHeight="1" x14ac:dyDescent="0.2">
      <c r="A2" s="52" t="s">
        <v>1</v>
      </c>
      <c r="B2" s="52" t="s">
        <v>2</v>
      </c>
    </row>
    <row r="3" spans="1:6" s="52" customFormat="1" ht="12.75" customHeight="1" x14ac:dyDescent="0.2"/>
    <row r="4" spans="1:6" s="52" customFormat="1" ht="12.75" customHeight="1" x14ac:dyDescent="0.2">
      <c r="A4" s="53" t="s">
        <v>3</v>
      </c>
      <c r="C4" s="54" t="s">
        <v>4</v>
      </c>
      <c r="D4" s="55" t="s">
        <v>4</v>
      </c>
    </row>
    <row r="5" spans="1:6" s="52" customFormat="1" ht="12.75" customHeight="1" x14ac:dyDescent="0.2">
      <c r="A5" s="57" t="s">
        <v>9</v>
      </c>
      <c r="C5" s="58">
        <v>-9.5</v>
      </c>
      <c r="D5" s="52" t="s">
        <v>10</v>
      </c>
    </row>
    <row r="6" spans="1:6" s="52" customFormat="1" ht="12.75" customHeight="1" x14ac:dyDescent="0.2">
      <c r="A6" s="53" t="s">
        <v>5</v>
      </c>
    </row>
    <row r="7" spans="1:6" s="52" customFormat="1" ht="12.75" customHeight="1" x14ac:dyDescent="0.2">
      <c r="A7" s="52" t="s">
        <v>6</v>
      </c>
      <c r="C7" s="52">
        <v>52308.290999999997</v>
      </c>
      <c r="D7" s="56" t="s">
        <v>7</v>
      </c>
    </row>
    <row r="8" spans="1:6" s="52" customFormat="1" ht="12.75" customHeight="1" x14ac:dyDescent="0.2">
      <c r="A8" s="52" t="s">
        <v>8</v>
      </c>
      <c r="C8" s="52">
        <v>0.38785999999999998</v>
      </c>
      <c r="D8" s="56">
        <v>5260</v>
      </c>
    </row>
    <row r="9" spans="1:6" s="52" customFormat="1" ht="12.75" customHeight="1" x14ac:dyDescent="0.2">
      <c r="A9" s="64" t="s">
        <v>25</v>
      </c>
      <c r="B9" s="56">
        <v>21</v>
      </c>
      <c r="C9" s="62" t="str">
        <f>"F"&amp;B9</f>
        <v>F21</v>
      </c>
      <c r="D9" s="60" t="str">
        <f>"G"&amp;B9</f>
        <v>G21</v>
      </c>
    </row>
    <row r="10" spans="1:6" s="52" customFormat="1" ht="12.75" customHeight="1" x14ac:dyDescent="0.2">
      <c r="C10" s="59" t="s">
        <v>11</v>
      </c>
      <c r="D10" s="59" t="s">
        <v>12</v>
      </c>
    </row>
    <row r="11" spans="1:6" s="52" customFormat="1" ht="12.75" customHeight="1" x14ac:dyDescent="0.2">
      <c r="A11" s="52" t="s">
        <v>13</v>
      </c>
      <c r="C11" s="60">
        <f ca="1">INTERCEPT(INDIRECT($D$9):G987,INDIRECT($C$9):F987)</f>
        <v>-2.9597773208811518E-4</v>
      </c>
      <c r="D11" s="61"/>
    </row>
    <row r="12" spans="1:6" s="52" customFormat="1" ht="12.75" customHeight="1" x14ac:dyDescent="0.2">
      <c r="A12" s="52" t="s">
        <v>14</v>
      </c>
      <c r="C12" s="60">
        <f ca="1">SLOPE(INDIRECT($D$9):G987,INDIRECT($C$9):F987)</f>
        <v>7.890742803629179E-5</v>
      </c>
      <c r="D12" s="61"/>
    </row>
    <row r="13" spans="1:6" s="52" customFormat="1" ht="12.75" customHeight="1" x14ac:dyDescent="0.2">
      <c r="A13" s="52" t="s">
        <v>15</v>
      </c>
      <c r="C13" s="61" t="s">
        <v>16</v>
      </c>
    </row>
    <row r="14" spans="1:6" s="52" customFormat="1" ht="12.75" customHeight="1" x14ac:dyDescent="0.2"/>
    <row r="15" spans="1:6" s="52" customFormat="1" ht="12.75" customHeight="1" x14ac:dyDescent="0.2">
      <c r="A15" s="53" t="s">
        <v>17</v>
      </c>
      <c r="C15" s="63">
        <f ca="1">(C7+C11)+(C8+C12)*INT(MAX(F21:F3528))</f>
        <v>58104.485919904553</v>
      </c>
      <c r="E15" s="64" t="s">
        <v>47</v>
      </c>
      <c r="F15" s="58">
        <v>1</v>
      </c>
    </row>
    <row r="16" spans="1:6" s="52" customFormat="1" ht="12.75" customHeight="1" x14ac:dyDescent="0.2">
      <c r="A16" s="53" t="s">
        <v>19</v>
      </c>
      <c r="C16" s="63">
        <f ca="1">+C8+C12</f>
        <v>0.38793890742803627</v>
      </c>
      <c r="E16" s="64" t="s">
        <v>18</v>
      </c>
      <c r="F16" s="82">
        <f ca="1">NOW()+15018.5+$C$5/24</f>
        <v>60376.825096064815</v>
      </c>
    </row>
    <row r="17" spans="1:17" s="52" customFormat="1" ht="12.75" customHeight="1" x14ac:dyDescent="0.2">
      <c r="A17" s="64" t="s">
        <v>21</v>
      </c>
      <c r="C17" s="52">
        <f>COUNT(C21:C2186)</f>
        <v>21</v>
      </c>
      <c r="E17" s="64" t="s">
        <v>48</v>
      </c>
      <c r="F17" s="60">
        <f ca="1">ROUND(2*(F16-$C$7)/$C$8,0)/2+F15</f>
        <v>20803.5</v>
      </c>
    </row>
    <row r="18" spans="1:17" s="52" customFormat="1" ht="12.75" customHeight="1" x14ac:dyDescent="0.2">
      <c r="A18" s="53" t="s">
        <v>23</v>
      </c>
      <c r="C18" s="66">
        <f ca="1">+C15</f>
        <v>58104.485919904553</v>
      </c>
      <c r="D18" s="67">
        <f ca="1">+C16</f>
        <v>0.38793890742803627</v>
      </c>
      <c r="E18" s="64" t="s">
        <v>20</v>
      </c>
      <c r="F18" s="60">
        <f ca="1">ROUND(2*(F16-$C$15)/$C$16,0)/2+F15</f>
        <v>5858.5</v>
      </c>
    </row>
    <row r="19" spans="1:17" s="52" customFormat="1" ht="12.75" customHeight="1" x14ac:dyDescent="0.2">
      <c r="E19" s="64" t="s">
        <v>22</v>
      </c>
      <c r="F19" s="65">
        <f ca="1">+$C$15+$C$16*F18-15018.5-$C$5/24</f>
        <v>45359.121842405038</v>
      </c>
    </row>
    <row r="20" spans="1:17" s="52" customFormat="1" ht="12.75" customHeight="1" x14ac:dyDescent="0.2">
      <c r="A20" s="59" t="s">
        <v>26</v>
      </c>
      <c r="B20" s="59" t="s">
        <v>27</v>
      </c>
      <c r="C20" s="59" t="s">
        <v>28</v>
      </c>
      <c r="D20" s="59" t="s">
        <v>29</v>
      </c>
      <c r="E20" s="59" t="s">
        <v>30</v>
      </c>
      <c r="F20" s="59" t="s">
        <v>31</v>
      </c>
      <c r="G20" s="59" t="s">
        <v>32</v>
      </c>
      <c r="H20" s="69" t="s">
        <v>49</v>
      </c>
      <c r="I20" s="69" t="s">
        <v>50</v>
      </c>
      <c r="J20" s="69" t="s">
        <v>51</v>
      </c>
      <c r="K20" s="69" t="s">
        <v>52</v>
      </c>
      <c r="L20" s="69" t="s">
        <v>34</v>
      </c>
      <c r="M20" s="69" t="s">
        <v>35</v>
      </c>
      <c r="N20" s="69" t="s">
        <v>36</v>
      </c>
      <c r="O20" s="69" t="s">
        <v>37</v>
      </c>
      <c r="P20" s="69" t="s">
        <v>38</v>
      </c>
      <c r="Q20" s="59" t="s">
        <v>39</v>
      </c>
    </row>
    <row r="21" spans="1:17" s="52" customFormat="1" ht="12.75" customHeight="1" x14ac:dyDescent="0.2">
      <c r="A21" s="22" t="s">
        <v>40</v>
      </c>
      <c r="B21" s="23" t="s">
        <v>41</v>
      </c>
      <c r="C21" s="24">
        <v>52307.313399999999</v>
      </c>
      <c r="D21" s="24">
        <v>5.9999999999999995E-4</v>
      </c>
      <c r="E21" s="52">
        <f t="shared" ref="E21:E31" si="0">+(C21-C$7)/C$8</f>
        <v>-2.5204970865733691</v>
      </c>
      <c r="F21" s="52">
        <f t="shared" ref="F21:F28" si="1">ROUND(2*E21,0)/2</f>
        <v>-2.5</v>
      </c>
      <c r="G21" s="52">
        <f t="shared" ref="G21:G31" si="2">+C21-(C$7+F21*C$8)</f>
        <v>-7.9499999992549419E-3</v>
      </c>
      <c r="J21" s="52">
        <f>+G21</f>
        <v>-7.9499999992549419E-3</v>
      </c>
      <c r="O21" s="52">
        <f t="shared" ref="O21:O31" ca="1" si="3">+C$11+C$12*$F21</f>
        <v>-4.9324630217884458E-4</v>
      </c>
      <c r="Q21" s="70">
        <f t="shared" ref="Q21:Q31" si="4">+C21-15018.5</f>
        <v>37288.813399999999</v>
      </c>
    </row>
    <row r="22" spans="1:17" s="52" customFormat="1" ht="12.75" customHeight="1" x14ac:dyDescent="0.2">
      <c r="A22" s="71" t="s">
        <v>42</v>
      </c>
      <c r="B22" s="61" t="s">
        <v>41</v>
      </c>
      <c r="C22" s="72">
        <v>52307.319500000216</v>
      </c>
      <c r="D22" s="72">
        <v>8.9999999999999998E-4</v>
      </c>
      <c r="E22" s="52">
        <f t="shared" si="0"/>
        <v>-2.5047697617216831</v>
      </c>
      <c r="F22" s="52">
        <f t="shared" si="1"/>
        <v>-2.5</v>
      </c>
      <c r="G22" s="52">
        <f t="shared" si="2"/>
        <v>-1.8499997822800651E-3</v>
      </c>
      <c r="K22" s="52">
        <f>+G22</f>
        <v>-1.8499997822800651E-3</v>
      </c>
      <c r="O22" s="52">
        <f t="shared" ca="1" si="3"/>
        <v>-4.9324630217884458E-4</v>
      </c>
      <c r="Q22" s="70">
        <f t="shared" si="4"/>
        <v>37288.819500000216</v>
      </c>
    </row>
    <row r="23" spans="1:17" ht="12.75" customHeight="1" x14ac:dyDescent="0.2">
      <c r="A23" s="25" t="s">
        <v>42</v>
      </c>
      <c r="B23" s="11" t="s">
        <v>43</v>
      </c>
      <c r="C23" s="26">
        <v>52308.291399999987</v>
      </c>
      <c r="D23" s="26">
        <v>6.9999999999999999E-4</v>
      </c>
      <c r="E23" s="1">
        <f t="shared" si="0"/>
        <v>1.031299927538674E-3</v>
      </c>
      <c r="F23" s="1">
        <f t="shared" si="1"/>
        <v>0</v>
      </c>
      <c r="G23" s="1">
        <f t="shared" si="2"/>
        <v>3.9999998989515007E-4</v>
      </c>
      <c r="K23" s="1">
        <f>+G23</f>
        <v>3.9999998989515007E-4</v>
      </c>
      <c r="O23" s="1">
        <f t="shared" ca="1" si="3"/>
        <v>-2.9597773208811518E-4</v>
      </c>
      <c r="Q23" s="51">
        <f t="shared" si="4"/>
        <v>37289.791399999987</v>
      </c>
    </row>
    <row r="24" spans="1:17" ht="12.75" customHeight="1" x14ac:dyDescent="0.2">
      <c r="A24" s="25" t="s">
        <v>42</v>
      </c>
      <c r="B24" s="27" t="s">
        <v>41</v>
      </c>
      <c r="C24" s="26">
        <v>52309.26099999994</v>
      </c>
      <c r="D24" s="26">
        <v>5.9999999999999995E-4</v>
      </c>
      <c r="E24" s="1">
        <f t="shared" si="0"/>
        <v>2.5009023873123204</v>
      </c>
      <c r="F24" s="1">
        <f t="shared" si="1"/>
        <v>2.5</v>
      </c>
      <c r="G24" s="1">
        <f t="shared" si="2"/>
        <v>3.4999994386453182E-4</v>
      </c>
      <c r="K24" s="1">
        <f>+G24</f>
        <v>3.4999994386453182E-4</v>
      </c>
      <c r="O24" s="1">
        <f t="shared" ca="1" si="3"/>
        <v>-9.8709161997385714E-5</v>
      </c>
      <c r="Q24" s="51">
        <f t="shared" si="4"/>
        <v>37290.76099999994</v>
      </c>
    </row>
    <row r="25" spans="1:17" ht="12.75" customHeight="1" x14ac:dyDescent="0.2">
      <c r="A25" s="25" t="s">
        <v>42</v>
      </c>
      <c r="B25" s="11" t="s">
        <v>43</v>
      </c>
      <c r="C25" s="26">
        <v>52309.459199999925</v>
      </c>
      <c r="D25" s="26">
        <v>1.4E-3</v>
      </c>
      <c r="E25" s="1">
        <f t="shared" si="0"/>
        <v>3.0119115142765698</v>
      </c>
      <c r="F25" s="1">
        <f t="shared" si="1"/>
        <v>3</v>
      </c>
      <c r="G25" s="1">
        <f t="shared" si="2"/>
        <v>4.6199999269447289E-3</v>
      </c>
      <c r="K25" s="1">
        <f>+G25</f>
        <v>4.6199999269447289E-3</v>
      </c>
      <c r="O25" s="1">
        <f t="shared" ca="1" si="3"/>
        <v>-5.9255447979239805E-5</v>
      </c>
      <c r="Q25" s="51">
        <f t="shared" si="4"/>
        <v>37290.959199999925</v>
      </c>
    </row>
    <row r="26" spans="1:17" ht="12.75" customHeight="1" x14ac:dyDescent="0.2">
      <c r="A26" s="25" t="s">
        <v>42</v>
      </c>
      <c r="B26" s="11" t="s">
        <v>41</v>
      </c>
      <c r="C26" s="26">
        <v>52310.421600000001</v>
      </c>
      <c r="D26" s="26">
        <v>1.1000000000000001E-3</v>
      </c>
      <c r="E26" s="1">
        <f t="shared" si="0"/>
        <v>5.4932192028155811</v>
      </c>
      <c r="F26" s="1">
        <f t="shared" si="1"/>
        <v>5.5</v>
      </c>
      <c r="G26" s="1">
        <f t="shared" si="2"/>
        <v>-2.6299999954062514E-3</v>
      </c>
      <c r="K26" s="1">
        <f>+G26</f>
        <v>-2.6299999954062514E-3</v>
      </c>
      <c r="O26" s="1">
        <f t="shared" ca="1" si="3"/>
        <v>1.3801312211148968E-4</v>
      </c>
      <c r="Q26" s="51">
        <f t="shared" si="4"/>
        <v>37291.921600000001</v>
      </c>
    </row>
    <row r="27" spans="1:17" ht="12.75" customHeight="1" x14ac:dyDescent="0.2">
      <c r="A27" s="22" t="s">
        <v>40</v>
      </c>
      <c r="B27" s="28"/>
      <c r="C27" s="24">
        <v>52320.313699999999</v>
      </c>
      <c r="D27" s="24">
        <v>5.0000000000000001E-4</v>
      </c>
      <c r="E27" s="1">
        <f t="shared" si="0"/>
        <v>30.997524880114863</v>
      </c>
      <c r="F27" s="1">
        <f t="shared" si="1"/>
        <v>31</v>
      </c>
      <c r="G27" s="1">
        <f t="shared" si="2"/>
        <v>-9.59999997576233E-4</v>
      </c>
      <c r="J27" s="1">
        <f>+G27</f>
        <v>-9.59999997576233E-4</v>
      </c>
      <c r="O27" s="1">
        <f t="shared" ca="1" si="3"/>
        <v>2.1501525370369303E-3</v>
      </c>
      <c r="Q27" s="51">
        <f t="shared" si="4"/>
        <v>37301.813699999999</v>
      </c>
    </row>
    <row r="28" spans="1:17" ht="12.75" customHeight="1" x14ac:dyDescent="0.2">
      <c r="A28" s="31" t="s">
        <v>42</v>
      </c>
      <c r="B28" s="32" t="s">
        <v>43</v>
      </c>
      <c r="C28" s="33">
        <v>52320.314199999906</v>
      </c>
      <c r="D28" s="33">
        <v>4.0000000000000002E-4</v>
      </c>
      <c r="E28" s="1">
        <f t="shared" si="0"/>
        <v>30.998814004817934</v>
      </c>
      <c r="F28" s="1">
        <f t="shared" si="1"/>
        <v>31</v>
      </c>
      <c r="G28" s="1">
        <f t="shared" si="2"/>
        <v>-4.6000009024282917E-4</v>
      </c>
      <c r="K28" s="1">
        <f t="shared" ref="K28:K36" si="5">+G28</f>
        <v>-4.6000009024282917E-4</v>
      </c>
      <c r="O28" s="1">
        <f t="shared" ca="1" si="3"/>
        <v>2.1501525370369303E-3</v>
      </c>
      <c r="Q28" s="51">
        <f t="shared" si="4"/>
        <v>37301.814199999906</v>
      </c>
    </row>
    <row r="29" spans="1:17" ht="12.75" customHeight="1" x14ac:dyDescent="0.2">
      <c r="A29" s="33" t="s">
        <v>44</v>
      </c>
      <c r="B29" s="32" t="s">
        <v>41</v>
      </c>
      <c r="C29" s="33">
        <v>54787.807500000003</v>
      </c>
      <c r="D29" s="33">
        <v>1.4E-3</v>
      </c>
      <c r="E29" s="1">
        <f t="shared" si="0"/>
        <v>6392.8131284484225</v>
      </c>
      <c r="F29" s="34">
        <f>ROUND(2*E29,0)/2-1.5</f>
        <v>6391.5</v>
      </c>
      <c r="G29" s="1">
        <f t="shared" si="2"/>
        <v>0.5093100000085542</v>
      </c>
      <c r="K29" s="1">
        <f t="shared" si="5"/>
        <v>0.5093100000085542</v>
      </c>
      <c r="O29" s="1">
        <f t="shared" ca="1" si="3"/>
        <v>0.50404084856187081</v>
      </c>
      <c r="Q29" s="51">
        <f t="shared" si="4"/>
        <v>39769.307500000003</v>
      </c>
    </row>
    <row r="30" spans="1:17" ht="12.75" customHeight="1" x14ac:dyDescent="0.2">
      <c r="A30" s="33" t="s">
        <v>45</v>
      </c>
      <c r="B30" s="32" t="s">
        <v>41</v>
      </c>
      <c r="C30" s="33">
        <v>54716.61982</v>
      </c>
      <c r="D30" s="33">
        <v>5.9999999999999995E-4</v>
      </c>
      <c r="E30" s="1">
        <f t="shared" si="0"/>
        <v>6209.2735007476995</v>
      </c>
      <c r="F30" s="34">
        <f>ROUND(2*E30,0)/2-1.5</f>
        <v>6208</v>
      </c>
      <c r="G30" s="1">
        <f t="shared" si="2"/>
        <v>0.49394000000029337</v>
      </c>
      <c r="K30" s="1">
        <f t="shared" si="5"/>
        <v>0.49394000000029337</v>
      </c>
      <c r="O30" s="1">
        <f t="shared" ca="1" si="3"/>
        <v>0.48956133551721132</v>
      </c>
      <c r="Q30" s="51">
        <f t="shared" si="4"/>
        <v>39698.11982</v>
      </c>
    </row>
    <row r="31" spans="1:17" ht="12.75" customHeight="1" x14ac:dyDescent="0.2">
      <c r="A31" s="35" t="s">
        <v>46</v>
      </c>
      <c r="B31" s="32" t="s">
        <v>41</v>
      </c>
      <c r="C31" s="33">
        <v>54857.441919999997</v>
      </c>
      <c r="D31" s="33">
        <v>2.9999999999999997E-4</v>
      </c>
      <c r="E31" s="1">
        <f t="shared" si="0"/>
        <v>6572.3480637343373</v>
      </c>
      <c r="F31" s="34">
        <f>ROUND(2*E31,0)/2-1.5</f>
        <v>6571</v>
      </c>
      <c r="G31" s="1">
        <f t="shared" si="2"/>
        <v>0.52285999999730848</v>
      </c>
      <c r="K31" s="1">
        <f t="shared" si="5"/>
        <v>0.52285999999730848</v>
      </c>
      <c r="O31" s="1">
        <f t="shared" ca="1" si="3"/>
        <v>0.51820473189438521</v>
      </c>
      <c r="Q31" s="51">
        <f t="shared" si="4"/>
        <v>39838.941919999997</v>
      </c>
    </row>
    <row r="32" spans="1:17" ht="12.75" customHeight="1" x14ac:dyDescent="0.2">
      <c r="A32" s="36" t="s">
        <v>53</v>
      </c>
      <c r="B32" s="30" t="s">
        <v>43</v>
      </c>
      <c r="C32" s="29">
        <v>56656.702700000002</v>
      </c>
      <c r="D32" s="29">
        <v>2.0000000000000001E-4</v>
      </c>
      <c r="E32" s="1">
        <f t="shared" ref="E32:E38" si="6">+(C32-C$7)/C$8</f>
        <v>11211.291961016874</v>
      </c>
      <c r="F32" s="37">
        <f t="shared" ref="F32:F37" si="7">ROUND(2*E32,0)/2-2.5</f>
        <v>11209</v>
      </c>
      <c r="G32" s="1">
        <f t="shared" ref="G32:G38" si="8">+C32-(C$7+F32*C$8)</f>
        <v>0.88896000000386266</v>
      </c>
      <c r="K32" s="1">
        <f t="shared" si="5"/>
        <v>0.88896000000386266</v>
      </c>
      <c r="O32" s="1">
        <f t="shared" ref="O32:O38" ca="1" si="9">+C$11+C$12*$F32</f>
        <v>0.88417738312670657</v>
      </c>
      <c r="Q32" s="51">
        <f t="shared" ref="Q32:Q38" si="10">+C32-15018.5</f>
        <v>41638.202700000002</v>
      </c>
    </row>
    <row r="33" spans="1:17" ht="12.75" customHeight="1" x14ac:dyDescent="0.2">
      <c r="A33" s="36" t="s">
        <v>53</v>
      </c>
      <c r="B33" s="30" t="s">
        <v>41</v>
      </c>
      <c r="C33" s="29">
        <v>56657.674800000001</v>
      </c>
      <c r="D33" s="29">
        <v>2.9999999999999997E-4</v>
      </c>
      <c r="E33" s="1">
        <f t="shared" si="6"/>
        <v>11213.798277729087</v>
      </c>
      <c r="F33" s="37">
        <f t="shared" si="7"/>
        <v>11211.5</v>
      </c>
      <c r="G33" s="1">
        <f t="shared" si="8"/>
        <v>0.89141000000381609</v>
      </c>
      <c r="K33" s="1">
        <f t="shared" si="5"/>
        <v>0.89141000000381609</v>
      </c>
      <c r="O33" s="1">
        <f t="shared" ca="1" si="9"/>
        <v>0.8843746516967973</v>
      </c>
      <c r="Q33" s="51">
        <f t="shared" si="10"/>
        <v>41639.174800000001</v>
      </c>
    </row>
    <row r="34" spans="1:17" x14ac:dyDescent="0.2">
      <c r="A34" s="36" t="s">
        <v>53</v>
      </c>
      <c r="B34" s="30" t="s">
        <v>43</v>
      </c>
      <c r="C34" s="29">
        <v>56663.688300000002</v>
      </c>
      <c r="D34" s="29">
        <v>2.0000000000000001E-4</v>
      </c>
      <c r="E34" s="1">
        <f t="shared" si="6"/>
        <v>11229.302583406396</v>
      </c>
      <c r="F34" s="37">
        <f t="shared" si="7"/>
        <v>11227</v>
      </c>
      <c r="G34" s="1">
        <f t="shared" si="8"/>
        <v>0.89308000000164611</v>
      </c>
      <c r="K34" s="1">
        <f t="shared" si="5"/>
        <v>0.89308000000164611</v>
      </c>
      <c r="O34" s="1">
        <f t="shared" ca="1" si="9"/>
        <v>0.88559771683135979</v>
      </c>
      <c r="Q34" s="51">
        <f t="shared" si="10"/>
        <v>41645.188300000002</v>
      </c>
    </row>
    <row r="35" spans="1:17" x14ac:dyDescent="0.2">
      <c r="A35" s="38" t="s">
        <v>54</v>
      </c>
      <c r="B35" s="39" t="s">
        <v>43</v>
      </c>
      <c r="C35" s="40">
        <v>57409.29509</v>
      </c>
      <c r="D35" s="40">
        <v>8.0000000000000004E-4</v>
      </c>
      <c r="E35" s="1">
        <f t="shared" si="6"/>
        <v>13151.663203217662</v>
      </c>
      <c r="F35" s="37">
        <f t="shared" si="7"/>
        <v>13149</v>
      </c>
      <c r="G35" s="1">
        <f t="shared" si="8"/>
        <v>1.0329500000007101</v>
      </c>
      <c r="K35" s="1">
        <f t="shared" si="5"/>
        <v>1.0329500000007101</v>
      </c>
      <c r="O35" s="1">
        <f t="shared" ca="1" si="9"/>
        <v>1.0372577935171126</v>
      </c>
      <c r="Q35" s="51">
        <f t="shared" si="10"/>
        <v>42390.79509</v>
      </c>
    </row>
    <row r="36" spans="1:17" x14ac:dyDescent="0.2">
      <c r="A36" s="38" t="s">
        <v>54</v>
      </c>
      <c r="B36" s="39" t="s">
        <v>43</v>
      </c>
      <c r="C36" s="40">
        <v>57409.299180000002</v>
      </c>
      <c r="D36" s="40">
        <v>1.2999999999999999E-3</v>
      </c>
      <c r="E36" s="1">
        <f t="shared" si="6"/>
        <v>13151.673748259693</v>
      </c>
      <c r="F36" s="37">
        <f t="shared" si="7"/>
        <v>13149</v>
      </c>
      <c r="G36" s="1">
        <f t="shared" si="8"/>
        <v>1.0370400000028894</v>
      </c>
      <c r="K36" s="1">
        <f t="shared" si="5"/>
        <v>1.0370400000028894</v>
      </c>
      <c r="O36" s="1">
        <f t="shared" ca="1" si="9"/>
        <v>1.0372577935171126</v>
      </c>
      <c r="Q36" s="51">
        <f t="shared" si="10"/>
        <v>42390.799180000002</v>
      </c>
    </row>
    <row r="37" spans="1:17" x14ac:dyDescent="0.2">
      <c r="A37" s="41" t="s">
        <v>55</v>
      </c>
      <c r="B37" s="42" t="s">
        <v>43</v>
      </c>
      <c r="C37" s="41">
        <v>57037.6486</v>
      </c>
      <c r="D37" s="41">
        <v>4.0000000000000002E-4</v>
      </c>
      <c r="E37" s="1">
        <f t="shared" si="6"/>
        <v>12193.465683494052</v>
      </c>
      <c r="F37" s="37">
        <f t="shared" si="7"/>
        <v>12191</v>
      </c>
      <c r="G37" s="1">
        <f t="shared" si="8"/>
        <v>0.95634000000427477</v>
      </c>
      <c r="K37" s="1">
        <f>+G37</f>
        <v>0.95634000000427477</v>
      </c>
      <c r="O37" s="1">
        <f t="shared" ca="1" si="9"/>
        <v>0.96166447745834505</v>
      </c>
      <c r="Q37" s="51">
        <f t="shared" si="10"/>
        <v>42019.1486</v>
      </c>
    </row>
    <row r="38" spans="1:17" x14ac:dyDescent="0.2">
      <c r="A38" s="43" t="s">
        <v>56</v>
      </c>
      <c r="B38" s="44" t="s">
        <v>41</v>
      </c>
      <c r="C38" s="45">
        <v>58074.032200000001</v>
      </c>
      <c r="D38" s="46" t="s">
        <v>57</v>
      </c>
      <c r="E38" s="1">
        <f t="shared" si="6"/>
        <v>14865.521579951541</v>
      </c>
      <c r="F38" s="47">
        <f>ROUND(2*E38,0)/2-3</f>
        <v>14862.5</v>
      </c>
      <c r="G38" s="1">
        <f t="shared" si="8"/>
        <v>1.1719500000035623</v>
      </c>
      <c r="K38" s="1">
        <f>+G38</f>
        <v>1.1719500000035623</v>
      </c>
      <c r="O38" s="1">
        <f t="shared" ca="1" si="9"/>
        <v>1.1724656714572985</v>
      </c>
      <c r="Q38" s="51">
        <f t="shared" si="10"/>
        <v>43055.532200000001</v>
      </c>
    </row>
    <row r="39" spans="1:17" x14ac:dyDescent="0.2">
      <c r="A39" s="48" t="s">
        <v>58</v>
      </c>
      <c r="B39" s="49" t="s">
        <v>43</v>
      </c>
      <c r="C39" s="50">
        <v>58104.481360000093</v>
      </c>
      <c r="D39" s="50">
        <v>6.9999999999999999E-4</v>
      </c>
      <c r="E39" s="1">
        <f>+(C39-C$7)/C$8</f>
        <v>14944.027123189026</v>
      </c>
      <c r="F39" s="47">
        <f>ROUND(2*E39,0)/2-3</f>
        <v>14941</v>
      </c>
      <c r="G39" s="1">
        <f>+C39-(C$7+F39*C$8)</f>
        <v>1.1741000000984059</v>
      </c>
      <c r="K39" s="1">
        <f>+G39</f>
        <v>1.1741000000984059</v>
      </c>
      <c r="O39" s="1">
        <f ca="1">+C$11+C$12*$F39</f>
        <v>1.1786599045581476</v>
      </c>
      <c r="Q39" s="51">
        <f>+C39-15018.5</f>
        <v>43085.981360000093</v>
      </c>
    </row>
    <row r="40" spans="1:17" x14ac:dyDescent="0.2">
      <c r="A40" s="48" t="s">
        <v>58</v>
      </c>
      <c r="B40" s="49" t="s">
        <v>43</v>
      </c>
      <c r="C40" s="50">
        <v>58104.482170000207</v>
      </c>
      <c r="D40" s="50">
        <v>5.0000000000000001E-4</v>
      </c>
      <c r="E40" s="1">
        <f>+(C40-C$7)/C$8</f>
        <v>14944.029211571726</v>
      </c>
      <c r="F40" s="47">
        <f>ROUND(2*E40,0)/2-3</f>
        <v>14941</v>
      </c>
      <c r="G40" s="1">
        <f>+C40-(C$7+F40*C$8)</f>
        <v>1.1749100002125488</v>
      </c>
      <c r="K40" s="1">
        <f>+G40</f>
        <v>1.1749100002125488</v>
      </c>
      <c r="O40" s="1">
        <f ca="1">+C$11+C$12*$F40</f>
        <v>1.1786599045581476</v>
      </c>
      <c r="Q40" s="51">
        <f>+C40-15018.5</f>
        <v>43085.982170000207</v>
      </c>
    </row>
    <row r="41" spans="1:17" x14ac:dyDescent="0.2">
      <c r="A41" s="48" t="s">
        <v>58</v>
      </c>
      <c r="B41" s="49" t="s">
        <v>43</v>
      </c>
      <c r="C41" s="50">
        <v>58104.482470000163</v>
      </c>
      <c r="D41" s="50">
        <v>2.0999999999999999E-3</v>
      </c>
      <c r="E41" s="1">
        <f>+(C41-C$7)/C$8</f>
        <v>14944.029985046578</v>
      </c>
      <c r="F41" s="47">
        <f>ROUND(2*E41,0)/2-3</f>
        <v>14941</v>
      </c>
      <c r="G41" s="1">
        <f>+C41-(C$7+F41*C$8)</f>
        <v>1.1752100001685903</v>
      </c>
      <c r="K41" s="1">
        <f>+G41</f>
        <v>1.1752100001685903</v>
      </c>
      <c r="O41" s="1">
        <f ca="1">+C$11+C$12*$F41</f>
        <v>1.1786599045581476</v>
      </c>
      <c r="Q41" s="51">
        <f>+C41-15018.5</f>
        <v>43085.982470000163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Q41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ht="12.75" customHeight="1" x14ac:dyDescent="0.2">
      <c r="A2" s="1" t="s">
        <v>1</v>
      </c>
      <c r="B2" s="1" t="s">
        <v>2</v>
      </c>
    </row>
    <row r="3" spans="1:6" ht="12.75" customHeight="1" x14ac:dyDescent="0.2"/>
    <row r="4" spans="1:6" ht="12.75" customHeight="1" x14ac:dyDescent="0.2">
      <c r="A4" s="3" t="s">
        <v>3</v>
      </c>
      <c r="C4" s="4" t="s">
        <v>4</v>
      </c>
      <c r="D4" s="5" t="s">
        <v>4</v>
      </c>
    </row>
    <row r="5" spans="1:6" ht="12.75" customHeight="1" x14ac:dyDescent="0.2">
      <c r="A5" s="7" t="s">
        <v>9</v>
      </c>
      <c r="B5"/>
      <c r="C5" s="8">
        <v>-9.5</v>
      </c>
      <c r="D5" t="s">
        <v>10</v>
      </c>
    </row>
    <row r="6" spans="1:6" ht="12.75" customHeight="1" x14ac:dyDescent="0.2">
      <c r="A6" s="3" t="s">
        <v>5</v>
      </c>
    </row>
    <row r="7" spans="1:6" ht="12.75" customHeight="1" x14ac:dyDescent="0.2">
      <c r="A7" s="1" t="s">
        <v>6</v>
      </c>
      <c r="C7" s="1">
        <v>52308.290999999997</v>
      </c>
      <c r="D7" s="6" t="s">
        <v>7</v>
      </c>
    </row>
    <row r="8" spans="1:6" ht="12.75" customHeight="1" x14ac:dyDescent="0.2">
      <c r="A8" s="1" t="s">
        <v>8</v>
      </c>
      <c r="C8" s="1">
        <v>0.38793908812829447</v>
      </c>
      <c r="D8" s="6">
        <v>5260</v>
      </c>
    </row>
    <row r="9" spans="1:6" ht="12.75" customHeight="1" x14ac:dyDescent="0.2">
      <c r="A9" s="20" t="s">
        <v>25</v>
      </c>
      <c r="B9" s="6">
        <v>21</v>
      </c>
      <c r="C9" s="12" t="str">
        <f>"F"&amp;B9</f>
        <v>F21</v>
      </c>
      <c r="D9" s="13" t="str">
        <f>"G"&amp;B9</f>
        <v>G21</v>
      </c>
    </row>
    <row r="10" spans="1:6" ht="12.75" customHeight="1" x14ac:dyDescent="0.2">
      <c r="A10"/>
      <c r="B10"/>
      <c r="C10" s="9" t="s">
        <v>11</v>
      </c>
      <c r="D10" s="9" t="s">
        <v>12</v>
      </c>
      <c r="E10"/>
    </row>
    <row r="11" spans="1:6" ht="12.75" customHeight="1" x14ac:dyDescent="0.2">
      <c r="A11" t="s">
        <v>13</v>
      </c>
      <c r="B11"/>
      <c r="C11" s="10">
        <f ca="1">INTERCEPT(INDIRECT($D$9):G987,INDIRECT($C$9):F987)</f>
        <v>-2.9597773172846255E-4</v>
      </c>
      <c r="D11" s="11"/>
      <c r="E11"/>
    </row>
    <row r="12" spans="1:6" ht="12.75" customHeight="1" x14ac:dyDescent="0.2">
      <c r="A12" t="s">
        <v>14</v>
      </c>
      <c r="B12"/>
      <c r="C12" s="10">
        <f ca="1">SLOPE(INDIRECT($D$9):G987,INDIRECT($C$9):F987)</f>
        <v>-1.8070025830434675E-7</v>
      </c>
      <c r="D12" s="11"/>
      <c r="E12"/>
    </row>
    <row r="13" spans="1:6" ht="12.75" customHeight="1" x14ac:dyDescent="0.2">
      <c r="A13" t="s">
        <v>15</v>
      </c>
      <c r="B13"/>
      <c r="C13" s="11" t="s">
        <v>16</v>
      </c>
    </row>
    <row r="14" spans="1:6" ht="12.75" customHeight="1" x14ac:dyDescent="0.2">
      <c r="A14"/>
      <c r="B14"/>
      <c r="C14"/>
    </row>
    <row r="15" spans="1:6" ht="12.75" customHeight="1" x14ac:dyDescent="0.2">
      <c r="A15" s="14" t="s">
        <v>17</v>
      </c>
      <c r="B15"/>
      <c r="C15" s="15">
        <f ca="1">(C7+C11)+(C8+C12)*INT(MAX(F21:F3528))</f>
        <v>58104.485919904553</v>
      </c>
      <c r="E15" s="16" t="s">
        <v>47</v>
      </c>
      <c r="F15" s="8">
        <v>1</v>
      </c>
    </row>
    <row r="16" spans="1:6" ht="12.75" customHeight="1" x14ac:dyDescent="0.2">
      <c r="A16" s="14" t="s">
        <v>19</v>
      </c>
      <c r="B16"/>
      <c r="C16" s="15">
        <f ca="1">+C8+C12</f>
        <v>0.38793890742803616</v>
      </c>
      <c r="E16" s="16" t="s">
        <v>18</v>
      </c>
      <c r="F16" s="10">
        <f ca="1">NOW()+15018.5+$C$5/24</f>
        <v>60376.825096064815</v>
      </c>
    </row>
    <row r="17" spans="1:17" ht="12.75" customHeight="1" x14ac:dyDescent="0.2">
      <c r="A17" s="16" t="s">
        <v>21</v>
      </c>
      <c r="B17"/>
      <c r="C17">
        <f>COUNT(C21:C2186)</f>
        <v>21</v>
      </c>
      <c r="E17" s="16" t="s">
        <v>48</v>
      </c>
      <c r="F17" s="10">
        <f ca="1">ROUND(2*(F16-$C$7)/$C$8,0)/2+F15</f>
        <v>20799.5</v>
      </c>
    </row>
    <row r="18" spans="1:17" ht="12.75" customHeight="1" x14ac:dyDescent="0.2">
      <c r="A18" s="14" t="s">
        <v>23</v>
      </c>
      <c r="B18"/>
      <c r="C18" s="18">
        <f ca="1">+C15</f>
        <v>58104.485919904553</v>
      </c>
      <c r="D18" s="19">
        <f ca="1">+C16</f>
        <v>0.38793890742803616</v>
      </c>
      <c r="E18" s="16" t="s">
        <v>20</v>
      </c>
      <c r="F18" s="13">
        <f ca="1">ROUND(2*(F16-$C$15)/$C$16,0)/2+F15</f>
        <v>5858.5</v>
      </c>
    </row>
    <row r="19" spans="1:17" ht="12.75" customHeight="1" x14ac:dyDescent="0.2">
      <c r="E19" s="16" t="s">
        <v>22</v>
      </c>
      <c r="F19" s="17">
        <f ca="1">+$C$15+$C$16*F18-15018.5-$C$5/24</f>
        <v>45359.121842405038</v>
      </c>
    </row>
    <row r="20" spans="1:17" ht="12.75" customHeight="1" x14ac:dyDescent="0.2">
      <c r="A20" s="9" t="s">
        <v>26</v>
      </c>
      <c r="B20" s="9" t="s">
        <v>27</v>
      </c>
      <c r="C20" s="9" t="s">
        <v>28</v>
      </c>
      <c r="D20" s="9" t="s">
        <v>29</v>
      </c>
      <c r="E20" s="9" t="s">
        <v>30</v>
      </c>
      <c r="F20" s="9" t="s">
        <v>31</v>
      </c>
      <c r="G20" s="9" t="s">
        <v>32</v>
      </c>
      <c r="H20" s="21" t="s">
        <v>49</v>
      </c>
      <c r="I20" s="21" t="s">
        <v>50</v>
      </c>
      <c r="J20" s="21" t="s">
        <v>51</v>
      </c>
      <c r="K20" s="21" t="s">
        <v>52</v>
      </c>
      <c r="L20" s="21" t="s">
        <v>34</v>
      </c>
      <c r="M20" s="21" t="s">
        <v>35</v>
      </c>
      <c r="N20" s="21" t="s">
        <v>36</v>
      </c>
      <c r="O20" s="21" t="s">
        <v>37</v>
      </c>
      <c r="P20" s="21" t="s">
        <v>38</v>
      </c>
      <c r="Q20" s="9" t="s">
        <v>39</v>
      </c>
    </row>
    <row r="21" spans="1:17" ht="12.75" customHeight="1" x14ac:dyDescent="0.2">
      <c r="A21" s="22" t="s">
        <v>40</v>
      </c>
      <c r="B21" s="23" t="s">
        <v>41</v>
      </c>
      <c r="C21" s="24">
        <v>52307.313399999999</v>
      </c>
      <c r="D21" s="24">
        <v>5.9999999999999995E-4</v>
      </c>
      <c r="E21" s="1">
        <f t="shared" ref="E21:E38" si="0">+(C21-C$7)/C$8</f>
        <v>-2.5199832394178516</v>
      </c>
      <c r="F21" s="1">
        <f t="shared" ref="F21:F38" si="1">ROUND(2*E21,0)/2</f>
        <v>-2.5</v>
      </c>
      <c r="G21" s="1">
        <f t="shared" ref="G21:G38" si="2">+C21-(C$7+F21*C$8)</f>
        <v>-7.7522796782432124E-3</v>
      </c>
      <c r="J21" s="1">
        <f>+G21</f>
        <v>-7.7522796782432124E-3</v>
      </c>
      <c r="O21" s="1">
        <f t="shared" ref="O21:O38" ca="1" si="3">+C$11+C$12*$F21</f>
        <v>-2.9552598108270167E-4</v>
      </c>
      <c r="Q21" s="51">
        <f t="shared" ref="Q21:Q38" si="4">+C21-15018.5</f>
        <v>37288.813399999999</v>
      </c>
    </row>
    <row r="22" spans="1:17" ht="12.75" customHeight="1" x14ac:dyDescent="0.2">
      <c r="A22" s="25" t="s">
        <v>42</v>
      </c>
      <c r="B22" s="11" t="s">
        <v>41</v>
      </c>
      <c r="C22" s="26">
        <v>52307.319500000216</v>
      </c>
      <c r="D22" s="26">
        <v>8.9999999999999998E-4</v>
      </c>
      <c r="E22" s="1">
        <f t="shared" si="0"/>
        <v>-2.5042591208547909</v>
      </c>
      <c r="F22" s="1">
        <f t="shared" si="1"/>
        <v>-2.5</v>
      </c>
      <c r="G22" s="1">
        <f t="shared" si="2"/>
        <v>-1.6522794612683356E-3</v>
      </c>
      <c r="K22" s="1">
        <f>+G22</f>
        <v>-1.6522794612683356E-3</v>
      </c>
      <c r="O22" s="1">
        <f t="shared" ca="1" si="3"/>
        <v>-2.9552598108270167E-4</v>
      </c>
      <c r="Q22" s="51">
        <f t="shared" si="4"/>
        <v>37288.819500000216</v>
      </c>
    </row>
    <row r="23" spans="1:17" ht="12.75" customHeight="1" x14ac:dyDescent="0.2">
      <c r="A23" s="25" t="s">
        <v>42</v>
      </c>
      <c r="B23" s="11" t="s">
        <v>43</v>
      </c>
      <c r="C23" s="26">
        <v>52308.291399999987</v>
      </c>
      <c r="D23" s="26">
        <v>6.9999999999999999E-4</v>
      </c>
      <c r="E23" s="1">
        <f t="shared" si="0"/>
        <v>1.0310896791170137E-3</v>
      </c>
      <c r="F23" s="1">
        <f t="shared" si="1"/>
        <v>0</v>
      </c>
      <c r="G23" s="1">
        <f t="shared" si="2"/>
        <v>3.9999998989515007E-4</v>
      </c>
      <c r="K23" s="1">
        <f>+G23</f>
        <v>3.9999998989515007E-4</v>
      </c>
      <c r="O23" s="1">
        <f t="shared" ca="1" si="3"/>
        <v>-2.9597773172846255E-4</v>
      </c>
      <c r="Q23" s="51">
        <f t="shared" si="4"/>
        <v>37289.791399999987</v>
      </c>
    </row>
    <row r="24" spans="1:17" x14ac:dyDescent="0.2">
      <c r="A24" s="25" t="s">
        <v>42</v>
      </c>
      <c r="B24" s="27" t="s">
        <v>41</v>
      </c>
      <c r="C24" s="26">
        <v>52309.26099999994</v>
      </c>
      <c r="D24" s="26">
        <v>5.9999999999999995E-4</v>
      </c>
      <c r="E24" s="1">
        <f t="shared" si="0"/>
        <v>2.5003925348769442</v>
      </c>
      <c r="F24" s="1">
        <f t="shared" si="1"/>
        <v>2.5</v>
      </c>
      <c r="G24" s="1">
        <f t="shared" si="2"/>
        <v>1.5227962285280228E-4</v>
      </c>
      <c r="K24" s="1">
        <f>+G24</f>
        <v>1.5227962285280228E-4</v>
      </c>
      <c r="O24" s="1">
        <f t="shared" ca="1" si="3"/>
        <v>-2.9642948237422343E-4</v>
      </c>
      <c r="Q24" s="51">
        <f t="shared" si="4"/>
        <v>37290.76099999994</v>
      </c>
    </row>
    <row r="25" spans="1:17" x14ac:dyDescent="0.2">
      <c r="A25" s="25" t="s">
        <v>42</v>
      </c>
      <c r="B25" s="11" t="s">
        <v>43</v>
      </c>
      <c r="C25" s="26">
        <v>52309.459199999925</v>
      </c>
      <c r="D25" s="26">
        <v>1.4E-3</v>
      </c>
      <c r="E25" s="1">
        <f t="shared" si="0"/>
        <v>3.0112974837456377</v>
      </c>
      <c r="F25" s="1">
        <f t="shared" si="1"/>
        <v>3</v>
      </c>
      <c r="G25" s="1">
        <f t="shared" si="2"/>
        <v>4.382735540275462E-3</v>
      </c>
      <c r="K25" s="1">
        <f>+G25</f>
        <v>4.382735540275462E-3</v>
      </c>
      <c r="O25" s="1">
        <f t="shared" ca="1" si="3"/>
        <v>-2.9651983250337556E-4</v>
      </c>
      <c r="Q25" s="51">
        <f t="shared" si="4"/>
        <v>37290.959199999925</v>
      </c>
    </row>
    <row r="26" spans="1:17" x14ac:dyDescent="0.2">
      <c r="A26" s="25" t="s">
        <v>42</v>
      </c>
      <c r="B26" s="11" t="s">
        <v>41</v>
      </c>
      <c r="C26" s="26">
        <v>52310.421600000001</v>
      </c>
      <c r="D26" s="26">
        <v>1.1000000000000001E-3</v>
      </c>
      <c r="E26" s="1">
        <f t="shared" si="0"/>
        <v>5.4920993145693151</v>
      </c>
      <c r="F26" s="1">
        <f t="shared" si="1"/>
        <v>5.5</v>
      </c>
      <c r="G26" s="1">
        <f t="shared" si="2"/>
        <v>-3.0649847030872479E-3</v>
      </c>
      <c r="K26" s="1">
        <f>+G26</f>
        <v>-3.0649847030872479E-3</v>
      </c>
      <c r="O26" s="1">
        <f t="shared" ca="1" si="3"/>
        <v>-2.9697158314913644E-4</v>
      </c>
      <c r="Q26" s="51">
        <f t="shared" si="4"/>
        <v>37291.921600000001</v>
      </c>
    </row>
    <row r="27" spans="1:17" x14ac:dyDescent="0.2">
      <c r="A27" s="22" t="s">
        <v>40</v>
      </c>
      <c r="B27" s="28"/>
      <c r="C27" s="24">
        <v>52320.313699999999</v>
      </c>
      <c r="D27" s="24">
        <v>5.0000000000000001E-4</v>
      </c>
      <c r="E27" s="1">
        <f t="shared" si="0"/>
        <v>30.991205495707487</v>
      </c>
      <c r="F27" s="1">
        <f t="shared" si="1"/>
        <v>31</v>
      </c>
      <c r="G27" s="1">
        <f t="shared" si="2"/>
        <v>-3.4117319737561047E-3</v>
      </c>
      <c r="J27" s="1">
        <f>+G27</f>
        <v>-3.4117319737561047E-3</v>
      </c>
      <c r="O27" s="1">
        <f t="shared" ca="1" si="3"/>
        <v>-3.0157943973589728E-4</v>
      </c>
      <c r="Q27" s="51">
        <f t="shared" si="4"/>
        <v>37301.813699999999</v>
      </c>
    </row>
    <row r="28" spans="1:17" x14ac:dyDescent="0.2">
      <c r="A28" s="31" t="s">
        <v>42</v>
      </c>
      <c r="B28" s="32" t="s">
        <v>43</v>
      </c>
      <c r="C28" s="33">
        <v>52320.314199999906</v>
      </c>
      <c r="D28" s="33">
        <v>4.0000000000000002E-4</v>
      </c>
      <c r="E28" s="1">
        <f t="shared" si="0"/>
        <v>30.992494357600073</v>
      </c>
      <c r="F28" s="1">
        <f t="shared" si="1"/>
        <v>31</v>
      </c>
      <c r="G28" s="1">
        <f t="shared" si="2"/>
        <v>-2.9117320664227009E-3</v>
      </c>
      <c r="K28" s="1">
        <f t="shared" ref="K28:K38" si="5">+G28</f>
        <v>-2.9117320664227009E-3</v>
      </c>
      <c r="O28" s="1">
        <f t="shared" ca="1" si="3"/>
        <v>-3.0157943973589728E-4</v>
      </c>
      <c r="Q28" s="51">
        <f t="shared" si="4"/>
        <v>37301.814199999906</v>
      </c>
    </row>
    <row r="29" spans="1:17" x14ac:dyDescent="0.2">
      <c r="A29" s="33" t="s">
        <v>44</v>
      </c>
      <c r="B29" s="32" t="s">
        <v>41</v>
      </c>
      <c r="C29" s="33">
        <v>54787.807500000003</v>
      </c>
      <c r="D29" s="33">
        <v>1.4E-3</v>
      </c>
      <c r="E29" s="1">
        <f t="shared" si="0"/>
        <v>6391.5098423389854</v>
      </c>
      <c r="F29" s="1">
        <f t="shared" si="1"/>
        <v>6391.5</v>
      </c>
      <c r="G29" s="1">
        <f t="shared" si="2"/>
        <v>3.8182280113687739E-3</v>
      </c>
      <c r="K29" s="1">
        <f t="shared" si="5"/>
        <v>3.8182280113687739E-3</v>
      </c>
      <c r="O29" s="1">
        <f t="shared" ca="1" si="3"/>
        <v>-1.4509234326806949E-3</v>
      </c>
      <c r="Q29" s="51">
        <f t="shared" si="4"/>
        <v>39769.307500000003</v>
      </c>
    </row>
    <row r="30" spans="1:17" x14ac:dyDescent="0.2">
      <c r="A30" s="33" t="s">
        <v>45</v>
      </c>
      <c r="B30" s="32" t="s">
        <v>41</v>
      </c>
      <c r="C30" s="33">
        <v>54716.61982</v>
      </c>
      <c r="D30" s="33">
        <v>5.9999999999999995E-4</v>
      </c>
      <c r="E30" s="1">
        <f t="shared" si="0"/>
        <v>6208.0076323826106</v>
      </c>
      <c r="F30" s="1">
        <f t="shared" si="1"/>
        <v>6208</v>
      </c>
      <c r="G30" s="1">
        <f t="shared" si="2"/>
        <v>2.9608995537273586E-3</v>
      </c>
      <c r="K30" s="1">
        <f t="shared" si="5"/>
        <v>2.9608995537273586E-3</v>
      </c>
      <c r="O30" s="1">
        <f t="shared" ca="1" si="3"/>
        <v>-1.4177649352818472E-3</v>
      </c>
      <c r="Q30" s="51">
        <f t="shared" si="4"/>
        <v>39698.11982</v>
      </c>
    </row>
    <row r="31" spans="1:17" x14ac:dyDescent="0.2">
      <c r="A31" s="35" t="s">
        <v>46</v>
      </c>
      <c r="B31" s="32" t="s">
        <v>41</v>
      </c>
      <c r="C31" s="33">
        <v>54857.441919999997</v>
      </c>
      <c r="D31" s="33">
        <v>2.9999999999999997E-4</v>
      </c>
      <c r="E31" s="1">
        <f t="shared" si="0"/>
        <v>6571.0081763067301</v>
      </c>
      <c r="F31" s="1">
        <f t="shared" si="1"/>
        <v>6571</v>
      </c>
      <c r="G31" s="1">
        <f t="shared" si="2"/>
        <v>3.1719089747639373E-3</v>
      </c>
      <c r="K31" s="1">
        <f t="shared" si="5"/>
        <v>3.1719089747639373E-3</v>
      </c>
      <c r="O31" s="1">
        <f t="shared" ca="1" si="3"/>
        <v>-1.4833591290463251E-3</v>
      </c>
      <c r="Q31" s="51">
        <f t="shared" si="4"/>
        <v>39838.941919999997</v>
      </c>
    </row>
    <row r="32" spans="1:17" x14ac:dyDescent="0.2">
      <c r="A32" s="36" t="s">
        <v>53</v>
      </c>
      <c r="B32" s="30" t="s">
        <v>43</v>
      </c>
      <c r="C32" s="29">
        <v>56656.702700000002</v>
      </c>
      <c r="D32" s="29">
        <v>2.0000000000000001E-4</v>
      </c>
      <c r="E32" s="1">
        <f t="shared" si="0"/>
        <v>11209.0063442175</v>
      </c>
      <c r="F32" s="1">
        <f t="shared" si="1"/>
        <v>11209</v>
      </c>
      <c r="G32" s="1">
        <f t="shared" si="2"/>
        <v>2.4611699554952793E-3</v>
      </c>
      <c r="K32" s="1">
        <f t="shared" si="5"/>
        <v>2.4611699554952793E-3</v>
      </c>
      <c r="O32" s="1">
        <f t="shared" ca="1" si="3"/>
        <v>-2.3214469270618852E-3</v>
      </c>
      <c r="Q32" s="51">
        <f t="shared" si="4"/>
        <v>41638.202700000002</v>
      </c>
    </row>
    <row r="33" spans="1:17" x14ac:dyDescent="0.2">
      <c r="A33" s="36" t="s">
        <v>53</v>
      </c>
      <c r="B33" s="30" t="s">
        <v>41</v>
      </c>
      <c r="C33" s="29">
        <v>56657.674800000001</v>
      </c>
      <c r="D33" s="29">
        <v>2.9999999999999997E-4</v>
      </c>
      <c r="E33" s="1">
        <f t="shared" si="0"/>
        <v>11211.512149973472</v>
      </c>
      <c r="F33" s="1">
        <f t="shared" si="1"/>
        <v>11211.5</v>
      </c>
      <c r="G33" s="1">
        <f t="shared" si="2"/>
        <v>4.713449627161026E-3</v>
      </c>
      <c r="K33" s="1">
        <f t="shared" si="5"/>
        <v>4.713449627161026E-3</v>
      </c>
      <c r="O33" s="1">
        <f t="shared" ca="1" si="3"/>
        <v>-2.3218986777076463E-3</v>
      </c>
      <c r="Q33" s="51">
        <f t="shared" si="4"/>
        <v>41639.174800000001</v>
      </c>
    </row>
    <row r="34" spans="1:17" x14ac:dyDescent="0.2">
      <c r="A34" s="36" t="s">
        <v>53</v>
      </c>
      <c r="B34" s="30" t="s">
        <v>43</v>
      </c>
      <c r="C34" s="29">
        <v>56663.688300000002</v>
      </c>
      <c r="D34" s="29">
        <v>2.0000000000000001E-4</v>
      </c>
      <c r="E34" s="1">
        <f t="shared" si="0"/>
        <v>11227.013294828492</v>
      </c>
      <c r="F34" s="1">
        <f t="shared" si="1"/>
        <v>11227</v>
      </c>
      <c r="G34" s="1">
        <f t="shared" si="2"/>
        <v>5.1575836405390874E-3</v>
      </c>
      <c r="K34" s="1">
        <f t="shared" si="5"/>
        <v>5.1575836405390874E-3</v>
      </c>
      <c r="O34" s="1">
        <f t="shared" ca="1" si="3"/>
        <v>-2.3246995317113637E-3</v>
      </c>
      <c r="Q34" s="51">
        <f t="shared" si="4"/>
        <v>41645.188300000002</v>
      </c>
    </row>
    <row r="35" spans="1:17" x14ac:dyDescent="0.2">
      <c r="A35" s="38" t="s">
        <v>54</v>
      </c>
      <c r="B35" s="39" t="s">
        <v>43</v>
      </c>
      <c r="C35" s="40">
        <v>57409.29509</v>
      </c>
      <c r="D35" s="40">
        <v>8.0000000000000004E-4</v>
      </c>
      <c r="E35" s="1">
        <f t="shared" si="0"/>
        <v>13148.982008002917</v>
      </c>
      <c r="F35" s="1">
        <f t="shared" si="1"/>
        <v>13149</v>
      </c>
      <c r="G35" s="1">
        <f t="shared" si="2"/>
        <v>-6.9797989417565987E-3</v>
      </c>
      <c r="K35" s="1">
        <f t="shared" si="5"/>
        <v>-6.9797989417565987E-3</v>
      </c>
      <c r="O35" s="1">
        <f t="shared" ca="1" si="3"/>
        <v>-2.6720054281723178E-3</v>
      </c>
      <c r="Q35" s="51">
        <f t="shared" si="4"/>
        <v>42390.79509</v>
      </c>
    </row>
    <row r="36" spans="1:17" x14ac:dyDescent="0.2">
      <c r="A36" s="38" t="s">
        <v>54</v>
      </c>
      <c r="B36" s="39" t="s">
        <v>43</v>
      </c>
      <c r="C36" s="40">
        <v>57409.299180000002</v>
      </c>
      <c r="D36" s="40">
        <v>1.2999999999999999E-3</v>
      </c>
      <c r="E36" s="1">
        <f t="shared" si="0"/>
        <v>13148.992550895158</v>
      </c>
      <c r="F36" s="1">
        <f t="shared" si="1"/>
        <v>13149</v>
      </c>
      <c r="G36" s="1">
        <f t="shared" si="2"/>
        <v>-2.8897989395773038E-3</v>
      </c>
      <c r="K36" s="1">
        <f t="shared" si="5"/>
        <v>-2.8897989395773038E-3</v>
      </c>
      <c r="O36" s="1">
        <f t="shared" ca="1" si="3"/>
        <v>-2.6720054281723178E-3</v>
      </c>
      <c r="Q36" s="51">
        <f t="shared" si="4"/>
        <v>42390.799180000002</v>
      </c>
    </row>
    <row r="37" spans="1:17" x14ac:dyDescent="0.2">
      <c r="A37" s="41" t="s">
        <v>55</v>
      </c>
      <c r="B37" s="42" t="s">
        <v>43</v>
      </c>
      <c r="C37" s="41">
        <v>57037.6486</v>
      </c>
      <c r="D37" s="41">
        <v>4.0000000000000002E-4</v>
      </c>
      <c r="E37" s="1">
        <f t="shared" si="0"/>
        <v>12190.979833504089</v>
      </c>
      <c r="F37" s="1">
        <f t="shared" si="1"/>
        <v>12191</v>
      </c>
      <c r="G37" s="1">
        <f t="shared" si="2"/>
        <v>-7.8233720341813751E-3</v>
      </c>
      <c r="K37" s="1">
        <f t="shared" si="5"/>
        <v>-7.8233720341813751E-3</v>
      </c>
      <c r="O37" s="1">
        <f t="shared" ca="1" si="3"/>
        <v>-2.498894580716754E-3</v>
      </c>
      <c r="Q37" s="51">
        <f t="shared" si="4"/>
        <v>42019.1486</v>
      </c>
    </row>
    <row r="38" spans="1:17" x14ac:dyDescent="0.2">
      <c r="A38" s="43" t="s">
        <v>56</v>
      </c>
      <c r="B38" s="44" t="s">
        <v>41</v>
      </c>
      <c r="C38" s="45">
        <v>58074.032200000001</v>
      </c>
      <c r="D38" s="46" t="s">
        <v>57</v>
      </c>
      <c r="E38" s="1">
        <f t="shared" si="0"/>
        <v>14862.490984907477</v>
      </c>
      <c r="F38" s="1">
        <f t="shared" si="1"/>
        <v>14862.5</v>
      </c>
      <c r="G38" s="1">
        <f t="shared" si="2"/>
        <v>-3.497306774079334E-3</v>
      </c>
      <c r="K38" s="1">
        <f t="shared" si="5"/>
        <v>-3.497306774079334E-3</v>
      </c>
      <c r="O38" s="1">
        <f t="shared" ca="1" si="3"/>
        <v>-2.9816353207768164E-3</v>
      </c>
      <c r="Q38" s="51">
        <f t="shared" si="4"/>
        <v>43055.532200000001</v>
      </c>
    </row>
    <row r="39" spans="1:17" x14ac:dyDescent="0.2">
      <c r="A39" s="48" t="s">
        <v>58</v>
      </c>
      <c r="B39" s="49" t="s">
        <v>43</v>
      </c>
      <c r="C39" s="50">
        <v>58104.481360000093</v>
      </c>
      <c r="D39" s="50">
        <v>6.9999999999999999E-4</v>
      </c>
      <c r="E39" s="1">
        <f>+(C39-C$7)/C$8</f>
        <v>14940.980523424982</v>
      </c>
      <c r="F39" s="1">
        <f>ROUND(2*E39,0)/2</f>
        <v>14941</v>
      </c>
      <c r="G39" s="1">
        <f>+C39-(C$7+F39*C$8)</f>
        <v>-7.5557247546385042E-3</v>
      </c>
      <c r="K39" s="1">
        <f>+G39</f>
        <v>-7.5557247546385042E-3</v>
      </c>
      <c r="O39" s="1">
        <f ca="1">+C$11+C$12*$F39</f>
        <v>-2.9958202910537078E-3</v>
      </c>
      <c r="Q39" s="51">
        <f>+C39-15018.5</f>
        <v>43085.981360000093</v>
      </c>
    </row>
    <row r="40" spans="1:17" x14ac:dyDescent="0.2">
      <c r="A40" s="48" t="s">
        <v>58</v>
      </c>
      <c r="B40" s="49" t="s">
        <v>43</v>
      </c>
      <c r="C40" s="50">
        <v>58104.482170000207</v>
      </c>
      <c r="D40" s="50">
        <v>5.0000000000000001E-4</v>
      </c>
      <c r="E40" s="1">
        <f>+(C40-C$7)/C$8</f>
        <v>14940.982611381929</v>
      </c>
      <c r="F40" s="1">
        <f>ROUND(2*E40,0)/2</f>
        <v>14941</v>
      </c>
      <c r="G40" s="1">
        <f>+C40-(C$7+F40*C$8)</f>
        <v>-6.7457246404956095E-3</v>
      </c>
      <c r="K40" s="1">
        <f>+G40</f>
        <v>-6.7457246404956095E-3</v>
      </c>
      <c r="O40" s="1">
        <f ca="1">+C$11+C$12*$F40</f>
        <v>-2.9958202910537078E-3</v>
      </c>
      <c r="Q40" s="51">
        <f>+C40-15018.5</f>
        <v>43085.982170000207</v>
      </c>
    </row>
    <row r="41" spans="1:17" x14ac:dyDescent="0.2">
      <c r="A41" s="48" t="s">
        <v>58</v>
      </c>
      <c r="B41" s="49" t="s">
        <v>43</v>
      </c>
      <c r="C41" s="50">
        <v>58104.482470000163</v>
      </c>
      <c r="D41" s="50">
        <v>2.0999999999999999E-3</v>
      </c>
      <c r="E41" s="1">
        <f>+(C41-C$7)/C$8</f>
        <v>14940.983384699093</v>
      </c>
      <c r="F41" s="1">
        <f>ROUND(2*E41,0)/2</f>
        <v>14941</v>
      </c>
      <c r="G41" s="1">
        <f>+C41-(C$7+F41*C$8)</f>
        <v>-6.445724684454035E-3</v>
      </c>
      <c r="K41" s="1">
        <f>+G41</f>
        <v>-6.445724684454035E-3</v>
      </c>
      <c r="O41" s="1">
        <f ca="1">+C$11+C$12*$F41</f>
        <v>-2.9958202910537078E-3</v>
      </c>
      <c r="Q41" s="51">
        <f>+C41-15018.5</f>
        <v>43085.982470000163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Active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2024-03-07T06:48:07Z</dcterms:created>
  <dcterms:modified xsi:type="dcterms:W3CDTF">2024-03-07T06:48:08Z</dcterms:modified>
</cp:coreProperties>
</file>