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897F21-FA17-405C-913C-AC2F9E64D3D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Sheet1" sheetId="3" r:id="rId3"/>
  </sheets>
  <calcPr calcId="181029"/>
</workbook>
</file>

<file path=xl/calcChain.xml><?xml version="1.0" encoding="utf-8"?>
<calcChain xmlns="http://schemas.openxmlformats.org/spreadsheetml/2006/main">
  <c r="Q22" i="2" l="1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21" i="2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21" i="2"/>
  <c r="F21" i="2"/>
  <c r="U21" i="2"/>
  <c r="E22" i="2"/>
  <c r="F22" i="2"/>
  <c r="G22" i="2"/>
  <c r="J22" i="2"/>
  <c r="E23" i="2"/>
  <c r="F23" i="2"/>
  <c r="G23" i="2"/>
  <c r="J23" i="2"/>
  <c r="E24" i="2"/>
  <c r="F24" i="2"/>
  <c r="G24" i="2"/>
  <c r="J24" i="2"/>
  <c r="E25" i="2"/>
  <c r="F25" i="2"/>
  <c r="G25" i="2"/>
  <c r="J25" i="2"/>
  <c r="E26" i="2"/>
  <c r="F26" i="2"/>
  <c r="G26" i="2"/>
  <c r="J26" i="2"/>
  <c r="E27" i="2"/>
  <c r="F11" i="3"/>
  <c r="F27" i="2"/>
  <c r="G27" i="2"/>
  <c r="J27" i="2"/>
  <c r="E28" i="2"/>
  <c r="F28" i="2"/>
  <c r="G28" i="2"/>
  <c r="J28" i="2"/>
  <c r="E29" i="2"/>
  <c r="F29" i="2"/>
  <c r="G29" i="2"/>
  <c r="J29" i="2"/>
  <c r="E30" i="2"/>
  <c r="F30" i="2"/>
  <c r="G30" i="2"/>
  <c r="J30" i="2"/>
  <c r="E31" i="2"/>
  <c r="F31" i="2"/>
  <c r="G31" i="2"/>
  <c r="J31" i="2"/>
  <c r="E32" i="2"/>
  <c r="F32" i="2"/>
  <c r="G32" i="2"/>
  <c r="J32" i="2"/>
  <c r="E33" i="2"/>
  <c r="F33" i="2"/>
  <c r="G33" i="2"/>
  <c r="J33" i="2"/>
  <c r="E34" i="2"/>
  <c r="F34" i="2"/>
  <c r="G34" i="2"/>
  <c r="J34" i="2"/>
  <c r="E35" i="2"/>
  <c r="F35" i="2"/>
  <c r="G35" i="2"/>
  <c r="J35" i="2"/>
  <c r="E36" i="2"/>
  <c r="F19" i="3"/>
  <c r="F36" i="2"/>
  <c r="G36" i="2"/>
  <c r="J36" i="2"/>
  <c r="E37" i="2"/>
  <c r="F37" i="2"/>
  <c r="U37" i="2"/>
  <c r="E38" i="2"/>
  <c r="F38" i="2"/>
  <c r="G38" i="2"/>
  <c r="J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25" i="3"/>
  <c r="F42" i="2"/>
  <c r="G42" i="2"/>
  <c r="K42" i="2"/>
  <c r="E43" i="2"/>
  <c r="F43" i="2"/>
  <c r="G43" i="2"/>
  <c r="K43" i="2"/>
  <c r="E44" i="2"/>
  <c r="F44" i="2"/>
  <c r="G44" i="2"/>
  <c r="K44" i="2"/>
  <c r="E45" i="2"/>
  <c r="F45" i="2"/>
  <c r="G45" i="2"/>
  <c r="K45" i="2"/>
  <c r="E46" i="2"/>
  <c r="F28" i="3"/>
  <c r="F46" i="2"/>
  <c r="G46" i="2"/>
  <c r="K46" i="2"/>
  <c r="E47" i="2"/>
  <c r="F47" i="2"/>
  <c r="G47" i="2"/>
  <c r="K47" i="2"/>
  <c r="E48" i="2"/>
  <c r="F48" i="2"/>
  <c r="G48" i="2"/>
  <c r="K48" i="2"/>
  <c r="E49" i="2"/>
  <c r="F49" i="2"/>
  <c r="G49" i="2"/>
  <c r="K49" i="2"/>
  <c r="E50" i="2"/>
  <c r="F50" i="2"/>
  <c r="G50" i="2"/>
  <c r="K50" i="2"/>
  <c r="E51" i="2"/>
  <c r="F51" i="2"/>
  <c r="G51" i="2"/>
  <c r="K51" i="2"/>
  <c r="E52" i="2"/>
  <c r="F52" i="2"/>
  <c r="G52" i="2"/>
  <c r="K52" i="2"/>
  <c r="E53" i="2"/>
  <c r="F53" i="2"/>
  <c r="G53" i="2"/>
  <c r="K53" i="2"/>
  <c r="E54" i="2"/>
  <c r="F54" i="2"/>
  <c r="G54" i="2"/>
  <c r="K54" i="2"/>
  <c r="E55" i="2"/>
  <c r="F55" i="2"/>
  <c r="G55" i="2"/>
  <c r="K55" i="2"/>
  <c r="F8" i="3"/>
  <c r="F9" i="3"/>
  <c r="F10" i="3"/>
  <c r="F12" i="3"/>
  <c r="F13" i="3"/>
  <c r="F14" i="3"/>
  <c r="F30" i="3"/>
  <c r="F15" i="3"/>
  <c r="F16" i="3"/>
  <c r="F17" i="3"/>
  <c r="F18" i="3"/>
  <c r="F20" i="3"/>
  <c r="F21" i="3"/>
  <c r="F22" i="3"/>
  <c r="F23" i="3"/>
  <c r="F26" i="3"/>
  <c r="F27" i="3"/>
  <c r="F32" i="3"/>
  <c r="F33" i="3"/>
  <c r="F34" i="3"/>
  <c r="F35" i="3"/>
  <c r="F36" i="3"/>
  <c r="F29" i="3"/>
  <c r="F37" i="3"/>
  <c r="F38" i="3"/>
  <c r="D9" i="2"/>
  <c r="C9" i="2"/>
  <c r="F16" i="2"/>
  <c r="F17" i="2" s="1"/>
  <c r="C17" i="2"/>
  <c r="E36" i="1"/>
  <c r="F36" i="1"/>
  <c r="G36" i="1"/>
  <c r="H36" i="1"/>
  <c r="E35" i="1"/>
  <c r="F35" i="1"/>
  <c r="G35" i="1"/>
  <c r="H35" i="1"/>
  <c r="E34" i="1"/>
  <c r="F34" i="1"/>
  <c r="E33" i="1"/>
  <c r="F33" i="1"/>
  <c r="E31" i="1"/>
  <c r="F31" i="1"/>
  <c r="G31" i="1"/>
  <c r="H31" i="1"/>
  <c r="E30" i="1"/>
  <c r="F30" i="1"/>
  <c r="G30" i="1"/>
  <c r="H30" i="1"/>
  <c r="E28" i="1"/>
  <c r="F28" i="1"/>
  <c r="G28" i="1"/>
  <c r="H28" i="1"/>
  <c r="E25" i="1"/>
  <c r="F25" i="1"/>
  <c r="G25" i="1"/>
  <c r="H25" i="1"/>
  <c r="E26" i="1"/>
  <c r="F26" i="1"/>
  <c r="E22" i="1"/>
  <c r="F22" i="1"/>
  <c r="E23" i="1"/>
  <c r="F23" i="1"/>
  <c r="G23" i="1"/>
  <c r="H23" i="1"/>
  <c r="E24" i="1"/>
  <c r="F24" i="1"/>
  <c r="G24" i="1"/>
  <c r="G33" i="1"/>
  <c r="H33" i="1"/>
  <c r="F11" i="1"/>
  <c r="H24" i="1"/>
  <c r="R37" i="1"/>
  <c r="G11" i="1"/>
  <c r="C7" i="1"/>
  <c r="E32" i="1"/>
  <c r="F32" i="1"/>
  <c r="G32" i="1"/>
  <c r="H32" i="1"/>
  <c r="C8" i="1"/>
  <c r="E37" i="1"/>
  <c r="F37" i="1"/>
  <c r="E15" i="1"/>
  <c r="C17" i="1"/>
  <c r="Q21" i="1"/>
  <c r="F7" i="3"/>
  <c r="F31" i="3"/>
  <c r="F24" i="3"/>
  <c r="G34" i="1"/>
  <c r="H34" i="1"/>
  <c r="G26" i="1"/>
  <c r="H26" i="1"/>
  <c r="E21" i="1"/>
  <c r="F21" i="1"/>
  <c r="G21" i="1"/>
  <c r="G37" i="1"/>
  <c r="H37" i="1"/>
  <c r="G22" i="1"/>
  <c r="H22" i="1"/>
  <c r="E27" i="1"/>
  <c r="F27" i="1"/>
  <c r="G27" i="1"/>
  <c r="H27" i="1"/>
  <c r="E29" i="1"/>
  <c r="F29" i="1"/>
  <c r="G29" i="1"/>
  <c r="H29" i="1"/>
  <c r="H21" i="1"/>
  <c r="C11" i="2"/>
  <c r="C12" i="2"/>
  <c r="C11" i="1"/>
  <c r="C12" i="1"/>
  <c r="C16" i="1" l="1"/>
  <c r="D18" i="1" s="1"/>
  <c r="O47" i="1"/>
  <c r="O41" i="1"/>
  <c r="O23" i="1"/>
  <c r="O22" i="1"/>
  <c r="O51" i="1"/>
  <c r="O45" i="1"/>
  <c r="O31" i="1"/>
  <c r="O30" i="1"/>
  <c r="O33" i="1"/>
  <c r="O40" i="1"/>
  <c r="O49" i="1"/>
  <c r="O21" i="1"/>
  <c r="O26" i="1"/>
  <c r="O32" i="1"/>
  <c r="O27" i="1"/>
  <c r="O44" i="1"/>
  <c r="O38" i="1"/>
  <c r="O53" i="1"/>
  <c r="O34" i="1"/>
  <c r="O29" i="1"/>
  <c r="O48" i="1"/>
  <c r="O42" i="1"/>
  <c r="O25" i="1"/>
  <c r="O24" i="1"/>
  <c r="O37" i="1"/>
  <c r="O52" i="1"/>
  <c r="O46" i="1"/>
  <c r="C15" i="1"/>
  <c r="O39" i="1"/>
  <c r="O50" i="1"/>
  <c r="O28" i="1"/>
  <c r="O43" i="1"/>
  <c r="O36" i="1"/>
  <c r="O35" i="1"/>
  <c r="C16" i="2"/>
  <c r="D18" i="2" s="1"/>
  <c r="O34" i="2"/>
  <c r="O45" i="2"/>
  <c r="O28" i="2"/>
  <c r="O49" i="2"/>
  <c r="O39" i="2"/>
  <c r="O46" i="2"/>
  <c r="O36" i="2"/>
  <c r="O50" i="2"/>
  <c r="O31" i="2"/>
  <c r="O51" i="2"/>
  <c r="O24" i="2"/>
  <c r="O52" i="2"/>
  <c r="O37" i="2"/>
  <c r="O35" i="2"/>
  <c r="O47" i="2"/>
  <c r="O54" i="2"/>
  <c r="O23" i="2"/>
  <c r="O21" i="2"/>
  <c r="O40" i="2"/>
  <c r="O26" i="2"/>
  <c r="O55" i="2"/>
  <c r="O42" i="2"/>
  <c r="O38" i="2"/>
  <c r="O44" i="2"/>
  <c r="O30" i="2"/>
  <c r="O41" i="2"/>
  <c r="O33" i="2"/>
  <c r="O22" i="2"/>
  <c r="O53" i="2"/>
  <c r="O48" i="2"/>
  <c r="O32" i="2"/>
  <c r="O27" i="2"/>
  <c r="O43" i="2"/>
  <c r="O25" i="2"/>
  <c r="C15" i="2"/>
  <c r="F18" i="2" s="1"/>
  <c r="O29" i="2"/>
  <c r="C18" i="1" l="1"/>
  <c r="E16" i="1"/>
  <c r="E17" i="1" s="1"/>
  <c r="C18" i="2"/>
  <c r="F19" i="2"/>
</calcChain>
</file>

<file path=xl/sharedStrings.xml><?xml version="1.0" encoding="utf-8"?>
<sst xmlns="http://schemas.openxmlformats.org/spreadsheetml/2006/main" count="243" uniqueCount="75">
  <si>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</si>
  <si>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</si>
  <si>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</si>
  <si>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</si>
  <si>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</si>
  <si>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</si>
  <si>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</si>
  <si>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</si>
  <si>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</si>
  <si>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</si>
  <si>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</si>
  <si>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</si>
  <si>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</si>
  <si>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</si>
  <si>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</si>
  <si>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</si>
  <si>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</si>
  <si>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</si>
  <si>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</si>
  <si>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</si>
  <si>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</si>
  <si>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</si>
  <si>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</si>
  <si>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</si>
  <si>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</si>
  <si>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</si>
  <si>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</si>
  <si>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</si>
  <si>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</si>
  <si>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</si>
  <si>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</si>
  <si>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</si>
  <si>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</si>
  <si>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</si>
  <si>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</si>
  <si>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</si>
  <si>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</si>
  <si>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</t>
  </si>
  <si>
    <t>IBVS 5600 Eph.</t>
  </si>
  <si>
    <t>IBVS 5600</t>
  </si>
  <si>
    <t>Tau</t>
  </si>
  <si>
    <t>IBVS 5781</t>
  </si>
  <si>
    <t>II</t>
  </si>
  <si>
    <t>IBVS 5713</t>
  </si>
  <si>
    <t>I</t>
  </si>
  <si>
    <t>IBVS 5894</t>
  </si>
  <si>
    <t>IBVS 5920</t>
  </si>
  <si>
    <t>IBVS 5960</t>
  </si>
  <si>
    <t>Add cycle</t>
  </si>
  <si>
    <t>Old Cycle</t>
  </si>
  <si>
    <t>IBVS 6011</t>
  </si>
  <si>
    <t xml:space="preserve">V1367 Tau / GSC 1848-1264 </t>
  </si>
  <si>
    <t>IBVS 6039</t>
  </si>
  <si>
    <t>pg</t>
  </si>
  <si>
    <t>vis</t>
  </si>
  <si>
    <t>PE</t>
  </si>
  <si>
    <t>CCD</t>
  </si>
  <si>
    <t>V</t>
  </si>
  <si>
    <t>VSB 060</t>
  </si>
  <si>
    <t>0.001?</t>
  </si>
  <si>
    <t>Blaettler, Ernst.</t>
  </si>
  <si>
    <t>Diethelm (2011a)</t>
  </si>
  <si>
    <t>Diethelm (2012a)</t>
  </si>
  <si>
    <t>Diethelm (2006</t>
  </si>
  <si>
    <t>Diethelm (2007</t>
  </si>
  <si>
    <t>Diethelm (2009</t>
  </si>
  <si>
    <t>Diethelm (2010</t>
  </si>
  <si>
    <t>Demircan (2012</t>
  </si>
  <si>
    <t>Aydin (2012</t>
  </si>
  <si>
    <t>Gokay (2013</t>
  </si>
  <si>
    <t>Okan (2013</t>
  </si>
  <si>
    <t>Diethelm (2013</t>
  </si>
  <si>
    <t>Itoh (2016</t>
  </si>
  <si>
    <t>Zhang et al. 2017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</si>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</sst>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7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10" fillId="24" borderId="0" xfId="0" applyFont="1" applyFill="1" applyAlignment="1"/>
    <xf numFmtId="0" fontId="8" fillId="24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3" fillId="0" borderId="0" xfId="41" applyFont="1" applyAlignment="1">
      <alignment horizontal="left" vertical="center"/>
    </xf>
    <xf numFmtId="0" fontId="13" fillId="0" borderId="0" xfId="41" applyFont="1" applyAlignment="1">
      <alignment horizontal="center" vertical="center"/>
    </xf>
    <xf numFmtId="0" fontId="31" fillId="0" borderId="0" xfId="0" applyFont="1" applyAlignment="1"/>
    <xf numFmtId="0" fontId="31" fillId="0" borderId="0" xfId="0" applyFont="1" applyAlignment="1">
      <alignment horizontal="left"/>
    </xf>
    <xf numFmtId="0" fontId="31" fillId="0" borderId="8" xfId="0" applyFont="1" applyBorder="1" applyAlignment="1">
      <alignment horizontal="center"/>
    </xf>
    <xf numFmtId="0" fontId="16" fillId="0" borderId="0" xfId="0" applyFont="1" applyAlignment="1"/>
    <xf numFmtId="0" fontId="16" fillId="0" borderId="0" xfId="41" applyFont="1" applyAlignment="1">
      <alignment horizontal="left"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/>
    </xf>
    <xf numFmtId="0" fontId="16" fillId="0" borderId="0" xfId="4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0" fillId="24" borderId="0" xfId="0" applyFont="1" applyFill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 (2)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V1367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-0.24760000007518101</c:v>
                </c:pt>
                <c:pt idx="2">
                  <c:v>-0.24420000007376075</c:v>
                </c:pt>
                <c:pt idx="3">
                  <c:v>-0.2468000000808388</c:v>
                </c:pt>
                <c:pt idx="4">
                  <c:v>-0.24870000006922055</c:v>
                </c:pt>
                <c:pt idx="5">
                  <c:v>-0.24940000007336494</c:v>
                </c:pt>
                <c:pt idx="6">
                  <c:v>-0.2488000000739703</c:v>
                </c:pt>
                <c:pt idx="7">
                  <c:v>-0.25670000007812632</c:v>
                </c:pt>
                <c:pt idx="8">
                  <c:v>-0.25050000007468043</c:v>
                </c:pt>
                <c:pt idx="9">
                  <c:v>-0.25210000007064082</c:v>
                </c:pt>
                <c:pt idx="10">
                  <c:v>-0.26610000007349299</c:v>
                </c:pt>
                <c:pt idx="11">
                  <c:v>-0.26760000007197959</c:v>
                </c:pt>
                <c:pt idx="12">
                  <c:v>-0.27410000007512281</c:v>
                </c:pt>
                <c:pt idx="13">
                  <c:v>-0.27080000007117633</c:v>
                </c:pt>
                <c:pt idx="14">
                  <c:v>-0.28550000007089693</c:v>
                </c:pt>
                <c:pt idx="15">
                  <c:v>-0.27360000007320195</c:v>
                </c:pt>
                <c:pt idx="16">
                  <c:v>-0.40550000007351628</c:v>
                </c:pt>
                <c:pt idx="17">
                  <c:v>-0.3051000000705244</c:v>
                </c:pt>
                <c:pt idx="18">
                  <c:v>-0.41570000007777708</c:v>
                </c:pt>
                <c:pt idx="19">
                  <c:v>-0.36480000007577473</c:v>
                </c:pt>
                <c:pt idx="20">
                  <c:v>-0.37060000007477356</c:v>
                </c:pt>
                <c:pt idx="21">
                  <c:v>-0.39380000007076887</c:v>
                </c:pt>
                <c:pt idx="22">
                  <c:v>-0.31630000007135095</c:v>
                </c:pt>
                <c:pt idx="23">
                  <c:v>-0.32180000007065246</c:v>
                </c:pt>
                <c:pt idx="24">
                  <c:v>-0.32180000007065246</c:v>
                </c:pt>
                <c:pt idx="25">
                  <c:v>-0.3245000000752043</c:v>
                </c:pt>
                <c:pt idx="26">
                  <c:v>-0.32730000006995397</c:v>
                </c:pt>
                <c:pt idx="27">
                  <c:v>-0.299100000076578</c:v>
                </c:pt>
                <c:pt idx="28">
                  <c:v>-0.37660000007599592</c:v>
                </c:pt>
                <c:pt idx="29">
                  <c:v>-0.37560000007215422</c:v>
                </c:pt>
                <c:pt idx="30">
                  <c:v>-0.33040000007167691</c:v>
                </c:pt>
                <c:pt idx="31">
                  <c:v>-0.33510000007663621</c:v>
                </c:pt>
                <c:pt idx="32">
                  <c:v>-0.33500000007916242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8-4CB3-9DB5-BB78D1C778D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8-4CB3-9DB5-BB78D1C778D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68-4CB3-9DB5-BB78D1C778D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68-4CB3-9DB5-BB78D1C778D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68-4CB3-9DB5-BB78D1C778D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68-4CB3-9DB5-BB78D1C778D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1.2999999999999999E-3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1.5E-3</c:v>
                  </c:pt>
                  <c:pt idx="13">
                    <c:v>8.9999999999999998E-4</c:v>
                  </c:pt>
                  <c:pt idx="14">
                    <c:v>3.0000000000000001E-3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8.0000000000000004E-4</c:v>
                  </c:pt>
                  <c:pt idx="26">
                    <c:v>6.9999999999999999E-4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68-4CB3-9DB5-BB78D1C778D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  <c:pt idx="2">
                  <c:v>1961.5</c:v>
                </c:pt>
                <c:pt idx="3">
                  <c:v>1969.5</c:v>
                </c:pt>
                <c:pt idx="4">
                  <c:v>1970</c:v>
                </c:pt>
                <c:pt idx="5">
                  <c:v>1992.5</c:v>
                </c:pt>
                <c:pt idx="6">
                  <c:v>1993</c:v>
                </c:pt>
                <c:pt idx="7">
                  <c:v>2024</c:v>
                </c:pt>
                <c:pt idx="8">
                  <c:v>2024.5</c:v>
                </c:pt>
                <c:pt idx="9">
                  <c:v>2025</c:v>
                </c:pt>
                <c:pt idx="10">
                  <c:v>2127.5</c:v>
                </c:pt>
                <c:pt idx="11">
                  <c:v>2128</c:v>
                </c:pt>
                <c:pt idx="12">
                  <c:v>2182</c:v>
                </c:pt>
                <c:pt idx="13">
                  <c:v>2182.5</c:v>
                </c:pt>
                <c:pt idx="14">
                  <c:v>2205</c:v>
                </c:pt>
                <c:pt idx="15">
                  <c:v>2205.5</c:v>
                </c:pt>
                <c:pt idx="16">
                  <c:v>3246.5</c:v>
                </c:pt>
                <c:pt idx="17">
                  <c:v>5314.5</c:v>
                </c:pt>
                <c:pt idx="18">
                  <c:v>6189.5</c:v>
                </c:pt>
                <c:pt idx="19">
                  <c:v>7236</c:v>
                </c:pt>
                <c:pt idx="20">
                  <c:v>7266.5</c:v>
                </c:pt>
                <c:pt idx="21">
                  <c:v>7458.5</c:v>
                </c:pt>
                <c:pt idx="22">
                  <c:v>8258.5</c:v>
                </c:pt>
                <c:pt idx="23">
                  <c:v>8302.5</c:v>
                </c:pt>
                <c:pt idx="24">
                  <c:v>8302.5</c:v>
                </c:pt>
                <c:pt idx="25">
                  <c:v>8338.5</c:v>
                </c:pt>
                <c:pt idx="26">
                  <c:v>8339</c:v>
                </c:pt>
                <c:pt idx="27">
                  <c:v>9523.5</c:v>
                </c:pt>
                <c:pt idx="28">
                  <c:v>11580.5</c:v>
                </c:pt>
                <c:pt idx="29">
                  <c:v>11581</c:v>
                </c:pt>
                <c:pt idx="30">
                  <c:v>12613.5</c:v>
                </c:pt>
                <c:pt idx="31">
                  <c:v>12664.5</c:v>
                </c:pt>
                <c:pt idx="32">
                  <c:v>12665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-0.2323713303347133</c:v>
                </c:pt>
                <c:pt idx="1">
                  <c:v>-0.255633572898191</c:v>
                </c:pt>
                <c:pt idx="2">
                  <c:v>-0.25563950411761055</c:v>
                </c:pt>
                <c:pt idx="3">
                  <c:v>-0.25573440362832334</c:v>
                </c:pt>
                <c:pt idx="4">
                  <c:v>-0.25574033484774289</c:v>
                </c:pt>
                <c:pt idx="5">
                  <c:v>-0.25600723972162265</c:v>
                </c:pt>
                <c:pt idx="6">
                  <c:v>-0.2560131709410422</c:v>
                </c:pt>
                <c:pt idx="7">
                  <c:v>-0.25638090654505435</c:v>
                </c:pt>
                <c:pt idx="8">
                  <c:v>-0.25638683776447391</c:v>
                </c:pt>
                <c:pt idx="9">
                  <c:v>-0.25639276898389346</c:v>
                </c:pt>
                <c:pt idx="10">
                  <c:v>-0.25760866896490137</c:v>
                </c:pt>
                <c:pt idx="11">
                  <c:v>-0.25761460018432092</c:v>
                </c:pt>
                <c:pt idx="12">
                  <c:v>-0.25825517188163238</c:v>
                </c:pt>
                <c:pt idx="13">
                  <c:v>-0.25826110310105194</c:v>
                </c:pt>
                <c:pt idx="14">
                  <c:v>-0.2585280079749317</c:v>
                </c:pt>
                <c:pt idx="15">
                  <c:v>-0.25853393919435125</c:v>
                </c:pt>
                <c:pt idx="16">
                  <c:v>-0.27088273802585572</c:v>
                </c:pt>
                <c:pt idx="17">
                  <c:v>-0.29541426154511724</c:v>
                </c:pt>
                <c:pt idx="18">
                  <c:v>-0.30579389552933089</c:v>
                </c:pt>
                <c:pt idx="19">
                  <c:v>-0.31820793777445044</c:v>
                </c:pt>
                <c:pt idx="20">
                  <c:v>-0.31856974215904305</c:v>
                </c:pt>
                <c:pt idx="21">
                  <c:v>-0.32084733041615049</c:v>
                </c:pt>
                <c:pt idx="22">
                  <c:v>-0.33033728148743152</c:v>
                </c:pt>
                <c:pt idx="23">
                  <c:v>-0.33085922879635199</c:v>
                </c:pt>
                <c:pt idx="24">
                  <c:v>-0.33085922879635199</c:v>
                </c:pt>
                <c:pt idx="25">
                  <c:v>-0.33128627659455967</c:v>
                </c:pt>
                <c:pt idx="26">
                  <c:v>-0.33129220781397917</c:v>
                </c:pt>
                <c:pt idx="27">
                  <c:v>-0.3453432666188947</c:v>
                </c:pt>
                <c:pt idx="28">
                  <c:v>-0.36974430331092611</c:v>
                </c:pt>
                <c:pt idx="29">
                  <c:v>-0.36975023453034567</c:v>
                </c:pt>
                <c:pt idx="30">
                  <c:v>-0.3819982026317178</c:v>
                </c:pt>
                <c:pt idx="31">
                  <c:v>-0.38260318701251195</c:v>
                </c:pt>
                <c:pt idx="32">
                  <c:v>-0.3826091182319315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68-4CB3-9DB5-BB78D1C7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87920"/>
        <c:axId val="1"/>
      </c:scatterChart>
      <c:valAx>
        <c:axId val="50808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8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V1367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2'!$D$21:$D$213</c:f>
                <c:numCache>
                  <c:formatCode>General</c:formatCode>
                  <c:ptCount val="19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2'!$D$21:$D$213</c:f>
                <c:numCache>
                  <c:formatCode>General</c:formatCode>
                  <c:ptCount val="19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2'!$H$21:$H$973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7D-407A-8FD9-7CB74C5C0E3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2'!$I$21:$I$973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7D-407A-8FD9-7CB74C5C0E3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2'!$J$21:$J$973</c:f>
              <c:numCache>
                <c:formatCode>General</c:formatCode>
                <c:ptCount val="953"/>
                <c:pt idx="1">
                  <c:v>-1.7044528940459713E-3</c:v>
                </c:pt>
                <c:pt idx="2">
                  <c:v>-1.7044528940459713E-3</c:v>
                </c:pt>
                <c:pt idx="3">
                  <c:v>1.7581346255610697E-3</c:v>
                </c:pt>
                <c:pt idx="4">
                  <c:v>1.5953484398778528E-4</c:v>
                </c:pt>
                <c:pt idx="5">
                  <c:v>-1.6778776334831491E-3</c:v>
                </c:pt>
                <c:pt idx="6">
                  <c:v>4.3856048432644457E-4</c:v>
                </c:pt>
                <c:pt idx="7">
                  <c:v>1.101148001907859E-3</c:v>
                </c:pt>
                <c:pt idx="8">
                  <c:v>-2.9184261366026476E-3</c:v>
                </c:pt>
                <c:pt idx="9">
                  <c:v>3.3441613777540624E-3</c:v>
                </c:pt>
                <c:pt idx="10">
                  <c:v>3.0674890149384737E-4</c:v>
                </c:pt>
                <c:pt idx="11">
                  <c:v>1.8067488999804482E-3</c:v>
                </c:pt>
                <c:pt idx="12">
                  <c:v>6.371892595780082E-4</c:v>
                </c:pt>
                <c:pt idx="13">
                  <c:v>-8.0022322799777612E-4</c:v>
                </c:pt>
                <c:pt idx="14">
                  <c:v>-5.4077172535471618E-4</c:v>
                </c:pt>
                <c:pt idx="15">
                  <c:v>2.8218157967785373E-3</c:v>
                </c:pt>
                <c:pt idx="17">
                  <c:v>2.900841434893664E-3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7D-407A-8FD9-7CB74C5C0E3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2'!$K$21:$K$973</c:f>
              <c:numCache>
                <c:formatCode>General</c:formatCode>
                <c:ptCount val="953"/>
                <c:pt idx="18">
                  <c:v>1.3080455028102733E-3</c:v>
                </c:pt>
                <c:pt idx="19">
                  <c:v>1.2895178260805551E-2</c:v>
                </c:pt>
                <c:pt idx="20">
                  <c:v>1.1823327688034624E-2</c:v>
                </c:pt>
                <c:pt idx="21">
                  <c:v>1.9881581916706637E-2</c:v>
                </c:pt>
                <c:pt idx="22">
                  <c:v>1.7899420265166555E-2</c:v>
                </c:pt>
                <c:pt idx="23">
                  <c:v>1.873302563035395E-2</c:v>
                </c:pt>
                <c:pt idx="24">
                  <c:v>2.2535635471285786E-2</c:v>
                </c:pt>
                <c:pt idx="25">
                  <c:v>2.2543336708622519E-2</c:v>
                </c:pt>
                <c:pt idx="26">
                  <c:v>2.2543336708622519E-2</c:v>
                </c:pt>
                <c:pt idx="27">
                  <c:v>2.4349637707928196E-2</c:v>
                </c:pt>
                <c:pt idx="28">
                  <c:v>2.1612225224089343E-2</c:v>
                </c:pt>
                <c:pt idx="29">
                  <c:v>2.4244633299531415E-2</c:v>
                </c:pt>
                <c:pt idx="30">
                  <c:v>3.0392253240279388E-2</c:v>
                </c:pt>
                <c:pt idx="31">
                  <c:v>3.1454840762307867E-2</c:v>
                </c:pt>
                <c:pt idx="32">
                  <c:v>3.2060644596640486E-2</c:v>
                </c:pt>
                <c:pt idx="33">
                  <c:v>3.3744571017450653E-2</c:v>
                </c:pt>
                <c:pt idx="34">
                  <c:v>3.3907158533111215E-2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7D-407A-8FD9-7CB74C5C0E3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2'!$L$21:$L$973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7D-407A-8FD9-7CB74C5C0E3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2'!$M$21:$M$973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7D-407A-8FD9-7CB74C5C0E3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2'!$D$21:$D$973</c:f>
                <c:numCache>
                  <c:formatCode>General</c:formatCode>
                  <c:ptCount val="953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2'!$N$21:$N$973</c:f>
              <c:numCache>
                <c:formatCode>General</c:formatCode>
                <c:ptCount val="95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7D-407A-8FD9-7CB74C5C0E3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2'!$O$21:$O$973</c:f>
              <c:numCache>
                <c:formatCode>General</c:formatCode>
                <c:ptCount val="953"/>
                <c:pt idx="0">
                  <c:v>-6.1246983751490338E-3</c:v>
                </c:pt>
                <c:pt idx="1">
                  <c:v>2.4439482140191891E-4</c:v>
                </c:pt>
                <c:pt idx="2">
                  <c:v>2.4439482140191891E-4</c:v>
                </c:pt>
                <c:pt idx="3">
                  <c:v>2.4601876153362498E-4</c:v>
                </c:pt>
                <c:pt idx="4">
                  <c:v>2.7200180364092032E-4</c:v>
                </c:pt>
                <c:pt idx="5">
                  <c:v>2.7362574377262638E-4</c:v>
                </c:pt>
                <c:pt idx="6">
                  <c:v>3.467030496993968E-4</c:v>
                </c:pt>
                <c:pt idx="7">
                  <c:v>3.4832698983110286E-4</c:v>
                </c:pt>
                <c:pt idx="8">
                  <c:v>4.4901127799687555E-4</c:v>
                </c:pt>
                <c:pt idx="9">
                  <c:v>4.5063521812858161E-4</c:v>
                </c:pt>
                <c:pt idx="10">
                  <c:v>4.5225915826028681E-4</c:v>
                </c:pt>
                <c:pt idx="11">
                  <c:v>4.5225915826028681E-4</c:v>
                </c:pt>
                <c:pt idx="12">
                  <c:v>7.851668852600184E-4</c:v>
                </c:pt>
                <c:pt idx="13">
                  <c:v>7.8679082539172447E-4</c:v>
                </c:pt>
                <c:pt idx="14">
                  <c:v>9.6217635961597277E-4</c:v>
                </c:pt>
                <c:pt idx="15">
                  <c:v>9.6380029974767883E-4</c:v>
                </c:pt>
                <c:pt idx="16">
                  <c:v>1.0368776056744492E-3</c:v>
                </c:pt>
                <c:pt idx="17">
                  <c:v>1.0385015458061553E-3</c:v>
                </c:pt>
                <c:pt idx="18">
                  <c:v>4.4195449000180584E-3</c:v>
                </c:pt>
                <c:pt idx="19">
                  <c:v>1.1139409165017509E-2</c:v>
                </c:pt>
                <c:pt idx="20">
                  <c:v>1.3981304395503019E-2</c:v>
                </c:pt>
                <c:pt idx="21">
                  <c:v>1.7381835031295392E-2</c:v>
                </c:pt>
                <c:pt idx="22">
                  <c:v>1.748089537932946E-2</c:v>
                </c:pt>
                <c:pt idx="23">
                  <c:v>1.8104488389904565E-2</c:v>
                </c:pt>
                <c:pt idx="24">
                  <c:v>2.070441654076588E-2</c:v>
                </c:pt>
                <c:pt idx="25">
                  <c:v>2.084732327235601E-2</c:v>
                </c:pt>
                <c:pt idx="26">
                  <c:v>2.084732327235601E-2</c:v>
                </c:pt>
                <c:pt idx="27">
                  <c:v>2.0964246961838844E-2</c:v>
                </c:pt>
                <c:pt idx="28">
                  <c:v>2.0965870901970548E-2</c:v>
                </c:pt>
                <c:pt idx="29">
                  <c:v>2.4814609014113781E-2</c:v>
                </c:pt>
                <c:pt idx="30">
                  <c:v>3.1497122656083988E-2</c:v>
                </c:pt>
                <c:pt idx="31">
                  <c:v>3.1498746596215696E-2</c:v>
                </c:pt>
                <c:pt idx="32">
                  <c:v>3.4853806908320302E-2</c:v>
                </c:pt>
                <c:pt idx="33">
                  <c:v>3.5019448801754317E-2</c:v>
                </c:pt>
                <c:pt idx="34">
                  <c:v>3.5021072741886025E-2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7D-407A-8FD9-7CB74C5C0E3E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2'!$D$21:$D$150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plus>
            <c:minus>
              <c:numRef>
                <c:f>'Active 2'!$D$21:$D$150</c:f>
                <c:numCache>
                  <c:formatCode>General</c:formatCode>
                  <c:ptCount val="130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1E-3</c:v>
                  </c:pt>
                  <c:pt idx="4">
                    <c:v>1.1999999999999999E-3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1.2999999999999999E-3</c:v>
                  </c:pt>
                  <c:pt idx="8">
                    <c:v>3.0000000000000001E-3</c:v>
                  </c:pt>
                  <c:pt idx="9">
                    <c:v>8.0000000000000004E-4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1.5E-3</c:v>
                  </c:pt>
                  <c:pt idx="15">
                    <c:v>8.9999999999999998E-4</c:v>
                  </c:pt>
                  <c:pt idx="16">
                    <c:v>3.0000000000000001E-3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5.0000000000000001E-4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5.9999999999999995E-4</c:v>
                  </c:pt>
                  <c:pt idx="27">
                    <c:v>8.0000000000000004E-4</c:v>
                  </c:pt>
                  <c:pt idx="28">
                    <c:v>6.9999999999999999E-4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2.0000000000000001E-4</c:v>
                  </c:pt>
                  <c:pt idx="3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2'!$F$21:$F$973</c:f>
              <c:numCache>
                <c:formatCode>General</c:formatCode>
                <c:ptCount val="953"/>
                <c:pt idx="0">
                  <c:v>-3246</c:v>
                </c:pt>
                <c:pt idx="1">
                  <c:v>-1285</c:v>
                </c:pt>
                <c:pt idx="2">
                  <c:v>-1285</c:v>
                </c:pt>
                <c:pt idx="3">
                  <c:v>-1284.5</c:v>
                </c:pt>
                <c:pt idx="4">
                  <c:v>-1276.5</c:v>
                </c:pt>
                <c:pt idx="5">
                  <c:v>-1276</c:v>
                </c:pt>
                <c:pt idx="6">
                  <c:v>-1253.5</c:v>
                </c:pt>
                <c:pt idx="7">
                  <c:v>-1253</c:v>
                </c:pt>
                <c:pt idx="8">
                  <c:v>-1222</c:v>
                </c:pt>
                <c:pt idx="9">
                  <c:v>-1221.5</c:v>
                </c:pt>
                <c:pt idx="10">
                  <c:v>-1221</c:v>
                </c:pt>
                <c:pt idx="11">
                  <c:v>-1221</c:v>
                </c:pt>
                <c:pt idx="12">
                  <c:v>-1118.5</c:v>
                </c:pt>
                <c:pt idx="13">
                  <c:v>-1118</c:v>
                </c:pt>
                <c:pt idx="14">
                  <c:v>-1064</c:v>
                </c:pt>
                <c:pt idx="15">
                  <c:v>-1063.5</c:v>
                </c:pt>
                <c:pt idx="16">
                  <c:v>-1041</c:v>
                </c:pt>
                <c:pt idx="17">
                  <c:v>-1040.5</c:v>
                </c:pt>
                <c:pt idx="18">
                  <c:v>0.5</c:v>
                </c:pt>
                <c:pt idx="19">
                  <c:v>2069.5</c:v>
                </c:pt>
                <c:pt idx="20">
                  <c:v>2944.5</c:v>
                </c:pt>
                <c:pt idx="21">
                  <c:v>3991.5</c:v>
                </c:pt>
                <c:pt idx="22">
                  <c:v>4022</c:v>
                </c:pt>
                <c:pt idx="23">
                  <c:v>4214</c:v>
                </c:pt>
                <c:pt idx="24">
                  <c:v>5014.5</c:v>
                </c:pt>
                <c:pt idx="25">
                  <c:v>5058.5</c:v>
                </c:pt>
                <c:pt idx="26">
                  <c:v>5058.5</c:v>
                </c:pt>
                <c:pt idx="27">
                  <c:v>5094.5</c:v>
                </c:pt>
                <c:pt idx="28">
                  <c:v>5095</c:v>
                </c:pt>
                <c:pt idx="29">
                  <c:v>6280</c:v>
                </c:pt>
                <c:pt idx="30">
                  <c:v>8337.5</c:v>
                </c:pt>
                <c:pt idx="31">
                  <c:v>8338</c:v>
                </c:pt>
                <c:pt idx="32">
                  <c:v>9371</c:v>
                </c:pt>
                <c:pt idx="33">
                  <c:v>9422</c:v>
                </c:pt>
                <c:pt idx="34">
                  <c:v>9422.5</c:v>
                </c:pt>
              </c:numCache>
            </c:numRef>
          </c:xVal>
          <c:yVal>
            <c:numRef>
              <c:f>'Active 2'!$U$21:$U$973</c:f>
              <c:numCache>
                <c:formatCode>General</c:formatCode>
                <c:ptCount val="953"/>
                <c:pt idx="0">
                  <c:v>4.2731744179036468E-4</c:v>
                </c:pt>
                <c:pt idx="16">
                  <c:v>-9.0617460809880868E-3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B7D-407A-8FD9-7CB74C5C0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255960"/>
        <c:axId val="1"/>
      </c:scatterChart>
      <c:valAx>
        <c:axId val="502255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481203007518797"/>
              <c:y val="0.88011941489769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55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601503759398496"/>
          <c:y val="0.92397937099967764"/>
          <c:w val="0.92481203007518797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B82BAD-6883-3402-6741-D1926A457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C8B8AA4D-F682-33B0-40F7-A7CE5ADCC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42578125" customWidth="1"/>
  </cols>
  <sheetData>
    <row r="1" spans="1:7" ht="20.25" x14ac:dyDescent="0.2">
      <c r="A1" s="27" t="s">
        <v>51</v>
      </c>
      <c r="D1" t="s">
        <v>40</v>
      </c>
    </row>
    <row r="2" spans="1:7" s="50" customFormat="1" ht="12.95" customHeight="1" x14ac:dyDescent="0.2">
      <c r="A2" s="50" t="s">
        <v>23</v>
      </c>
      <c r="B2" s="50" t="s">
        <v>37</v>
      </c>
      <c r="C2" s="51"/>
      <c r="D2" s="51"/>
    </row>
    <row r="3" spans="1:7" s="50" customFormat="1" ht="12.95" customHeight="1" thickBot="1" x14ac:dyDescent="0.25"/>
    <row r="4" spans="1:7" s="50" customFormat="1" ht="12.95" customHeight="1" thickTop="1" thickBot="1" x14ac:dyDescent="0.25">
      <c r="A4" s="52" t="s">
        <v>38</v>
      </c>
      <c r="C4" s="53">
        <v>53001.642500000075</v>
      </c>
      <c r="D4" s="54">
        <v>0.3478</v>
      </c>
    </row>
    <row r="5" spans="1:7" s="50" customFormat="1" ht="12.95" customHeight="1" x14ac:dyDescent="0.2"/>
    <row r="6" spans="1:7" s="50" customFormat="1" ht="12.95" customHeight="1" x14ac:dyDescent="0.2">
      <c r="A6" s="55" t="s">
        <v>0</v>
      </c>
    </row>
    <row r="7" spans="1:7" s="50" customFormat="1" ht="12.95" customHeight="1" x14ac:dyDescent="0.2">
      <c r="A7" s="50" t="s">
        <v>1</v>
      </c>
      <c r="C7" s="50">
        <f>+C4</f>
        <v>53001.642500000075</v>
      </c>
    </row>
    <row r="8" spans="1:7" s="50" customFormat="1" ht="12.95" customHeight="1" x14ac:dyDescent="0.2">
      <c r="A8" s="50" t="s">
        <v>2</v>
      </c>
      <c r="C8" s="50">
        <f>+D4</f>
        <v>0.3478</v>
      </c>
    </row>
    <row r="9" spans="1:7" s="50" customFormat="1" ht="12.95" customHeight="1" x14ac:dyDescent="0.2">
      <c r="A9" s="56" t="s">
        <v>29</v>
      </c>
      <c r="C9" s="57">
        <v>-9.5</v>
      </c>
      <c r="D9" s="50" t="s">
        <v>30</v>
      </c>
    </row>
    <row r="10" spans="1:7" s="50" customFormat="1" ht="12.95" customHeight="1" thickBot="1" x14ac:dyDescent="0.25">
      <c r="C10" s="58" t="s">
        <v>19</v>
      </c>
      <c r="D10" s="58" t="s">
        <v>20</v>
      </c>
    </row>
    <row r="11" spans="1:7" s="50" customFormat="1" ht="12.95" customHeight="1" x14ac:dyDescent="0.2">
      <c r="A11" s="50" t="s">
        <v>14</v>
      </c>
      <c r="C11" s="59">
        <f ca="1">INTERCEPT(INDIRECT($G$11):G992,INDIRECT($F$11):F992)</f>
        <v>-0.2323713303347133</v>
      </c>
      <c r="D11" s="51"/>
      <c r="F11" s="60" t="str">
        <f>"F"&amp;E19</f>
        <v>F21</v>
      </c>
      <c r="G11" s="59" t="str">
        <f>"G"&amp;E19</f>
        <v>G21</v>
      </c>
    </row>
    <row r="12" spans="1:7" s="50" customFormat="1" ht="12.95" customHeight="1" x14ac:dyDescent="0.2">
      <c r="A12" s="50" t="s">
        <v>15</v>
      </c>
      <c r="C12" s="59">
        <f ca="1">SLOPE(INDIRECT($G$11):G992,INDIRECT($F$11):F992)</f>
        <v>-1.1862438839101318E-5</v>
      </c>
      <c r="D12" s="51"/>
    </row>
    <row r="13" spans="1:7" s="50" customFormat="1" ht="12.95" customHeight="1" x14ac:dyDescent="0.2">
      <c r="A13" s="50" t="s">
        <v>18</v>
      </c>
      <c r="C13" s="51" t="s">
        <v>12</v>
      </c>
      <c r="D13" s="51"/>
    </row>
    <row r="14" spans="1:7" s="50" customFormat="1" ht="12.95" customHeight="1" x14ac:dyDescent="0.2"/>
    <row r="15" spans="1:7" s="50" customFormat="1" ht="12.95" customHeight="1" x14ac:dyDescent="0.2">
      <c r="A15" s="61" t="s">
        <v>16</v>
      </c>
      <c r="C15" s="62">
        <f ca="1">(C7+C11)+(C8+C12)*INT(MAX(F21:F3533))</f>
        <v>57406.146890881842</v>
      </c>
      <c r="D15" s="63" t="s">
        <v>31</v>
      </c>
      <c r="E15" s="64">
        <f ca="1">TODAY()+15018.5-B9/24</f>
        <v>60378.5</v>
      </c>
    </row>
    <row r="16" spans="1:7" s="50" customFormat="1" ht="12.95" customHeight="1" x14ac:dyDescent="0.2">
      <c r="A16" s="55" t="s">
        <v>3</v>
      </c>
      <c r="C16" s="65">
        <f ca="1">+C8+C12</f>
        <v>0.34778813756116089</v>
      </c>
      <c r="D16" s="63" t="s">
        <v>32</v>
      </c>
      <c r="E16" s="64">
        <f ca="1">ROUND(2*(E15-C15)/C16,0)/2+1</f>
        <v>8547.5</v>
      </c>
    </row>
    <row r="17" spans="1:17" s="50" customFormat="1" ht="12.95" customHeight="1" thickBot="1" x14ac:dyDescent="0.25">
      <c r="A17" s="63" t="s">
        <v>28</v>
      </c>
      <c r="C17" s="50">
        <f>COUNT(C21:C2191)</f>
        <v>33</v>
      </c>
      <c r="D17" s="63" t="s">
        <v>33</v>
      </c>
      <c r="E17" s="66">
        <f ca="1">+C15+C16*E16-15018.5-C9/24</f>
        <v>45360.761830019204</v>
      </c>
    </row>
    <row r="18" spans="1:17" s="50" customFormat="1" ht="12.95" customHeight="1" thickTop="1" thickBot="1" x14ac:dyDescent="0.25">
      <c r="A18" s="55" t="s">
        <v>4</v>
      </c>
      <c r="C18" s="67">
        <f ca="1">+C15</f>
        <v>57406.146890881842</v>
      </c>
      <c r="D18" s="68">
        <f ca="1">+C16</f>
        <v>0.34778813756116089</v>
      </c>
      <c r="E18" s="69" t="s">
        <v>34</v>
      </c>
    </row>
    <row r="19" spans="1:17" s="50" customFormat="1" ht="12.95" customHeight="1" thickTop="1" x14ac:dyDescent="0.2">
      <c r="A19" s="70" t="s">
        <v>35</v>
      </c>
      <c r="E19" s="71">
        <v>21</v>
      </c>
    </row>
    <row r="20" spans="1:17" s="50" customFormat="1" ht="12.95" customHeight="1" thickBot="1" x14ac:dyDescent="0.25">
      <c r="A20" s="58" t="s">
        <v>5</v>
      </c>
      <c r="B20" s="58" t="s">
        <v>6</v>
      </c>
      <c r="C20" s="58" t="s">
        <v>7</v>
      </c>
      <c r="D20" s="58" t="s">
        <v>11</v>
      </c>
      <c r="E20" s="58" t="s">
        <v>8</v>
      </c>
      <c r="F20" s="58" t="s">
        <v>9</v>
      </c>
      <c r="G20" s="58" t="s">
        <v>10</v>
      </c>
      <c r="H20" s="72" t="s">
        <v>56</v>
      </c>
      <c r="I20" s="72" t="s">
        <v>36</v>
      </c>
      <c r="J20" s="72" t="s">
        <v>17</v>
      </c>
      <c r="K20" s="72" t="s">
        <v>24</v>
      </c>
      <c r="L20" s="72" t="s">
        <v>25</v>
      </c>
      <c r="M20" s="72" t="s">
        <v>26</v>
      </c>
      <c r="N20" s="72" t="s">
        <v>27</v>
      </c>
      <c r="O20" s="72" t="s">
        <v>22</v>
      </c>
      <c r="P20" s="73" t="s">
        <v>21</v>
      </c>
      <c r="Q20" s="58" t="s">
        <v>13</v>
      </c>
    </row>
    <row r="21" spans="1:17" s="50" customFormat="1" ht="12.95" customHeight="1" x14ac:dyDescent="0.2">
      <c r="A21" s="29" t="s">
        <v>39</v>
      </c>
      <c r="C21" s="74">
        <v>53001.642500000075</v>
      </c>
      <c r="D21" s="74" t="s">
        <v>12</v>
      </c>
      <c r="E21" s="50">
        <f t="shared" ref="E21:E37" si="0">+(C21-C$7)/C$8</f>
        <v>0</v>
      </c>
      <c r="F21" s="50">
        <f>ROUND(2*E21,0)/2</f>
        <v>0</v>
      </c>
      <c r="G21" s="50">
        <f t="shared" ref="G21:G37" si="1">+C21-(C$7+F21*C$8)</f>
        <v>0</v>
      </c>
      <c r="H21" s="50">
        <f t="shared" ref="H21:H37" si="2">+G21</f>
        <v>0</v>
      </c>
      <c r="O21" s="50">
        <f t="shared" ref="O21:O37" ca="1" si="3">+C$11+C$12*$F21</f>
        <v>-0.2323713303347133</v>
      </c>
      <c r="Q21" s="75">
        <f t="shared" ref="Q21:Q55" si="4">+C21-15018.5</f>
        <v>37983.142500000075</v>
      </c>
    </row>
    <row r="22" spans="1:17" s="50" customFormat="1" ht="12.95" customHeight="1" x14ac:dyDescent="0.2">
      <c r="A22" s="74" t="s">
        <v>43</v>
      </c>
      <c r="B22" s="51" t="s">
        <v>44</v>
      </c>
      <c r="C22" s="74">
        <v>53683.430699999997</v>
      </c>
      <c r="D22" s="74">
        <v>1.4E-3</v>
      </c>
      <c r="E22" s="50">
        <f t="shared" si="0"/>
        <v>1960.2880966070231</v>
      </c>
      <c r="F22" s="76">
        <f t="shared" ref="F22:F30" si="5">ROUND(2*E22,0)/2+0.5</f>
        <v>1961</v>
      </c>
      <c r="G22" s="50">
        <f t="shared" si="1"/>
        <v>-0.24760000007518101</v>
      </c>
      <c r="H22" s="50">
        <f t="shared" si="2"/>
        <v>-0.24760000007518101</v>
      </c>
      <c r="O22" s="50">
        <f t="shared" ca="1" si="3"/>
        <v>-0.255633572898191</v>
      </c>
      <c r="Q22" s="75">
        <f t="shared" si="4"/>
        <v>38664.930699999997</v>
      </c>
    </row>
    <row r="23" spans="1:17" s="50" customFormat="1" ht="12.95" customHeight="1" x14ac:dyDescent="0.2">
      <c r="A23" s="74" t="s">
        <v>43</v>
      </c>
      <c r="B23" s="51" t="s">
        <v>42</v>
      </c>
      <c r="C23" s="74">
        <v>53683.608</v>
      </c>
      <c r="D23" s="74">
        <v>1E-3</v>
      </c>
      <c r="E23" s="50">
        <f t="shared" si="0"/>
        <v>1960.7978723402118</v>
      </c>
      <c r="F23" s="76">
        <f t="shared" si="5"/>
        <v>1961.5</v>
      </c>
      <c r="G23" s="50">
        <f t="shared" si="1"/>
        <v>-0.24420000007376075</v>
      </c>
      <c r="H23" s="50">
        <f t="shared" si="2"/>
        <v>-0.24420000007376075</v>
      </c>
      <c r="O23" s="50">
        <f t="shared" ca="1" si="3"/>
        <v>-0.25563950411761055</v>
      </c>
      <c r="Q23" s="75">
        <f t="shared" si="4"/>
        <v>38665.108</v>
      </c>
    </row>
    <row r="24" spans="1:17" s="50" customFormat="1" ht="12.95" customHeight="1" x14ac:dyDescent="0.2">
      <c r="A24" s="74" t="s">
        <v>43</v>
      </c>
      <c r="B24" s="51" t="s">
        <v>42</v>
      </c>
      <c r="C24" s="74">
        <v>53686.387799999997</v>
      </c>
      <c r="D24" s="74">
        <v>1.1999999999999999E-3</v>
      </c>
      <c r="E24" s="50">
        <f t="shared" si="0"/>
        <v>1968.7903967795351</v>
      </c>
      <c r="F24" s="76">
        <f t="shared" si="5"/>
        <v>1969.5</v>
      </c>
      <c r="G24" s="50">
        <f t="shared" si="1"/>
        <v>-0.2468000000808388</v>
      </c>
      <c r="H24" s="50">
        <f t="shared" si="2"/>
        <v>-0.2468000000808388</v>
      </c>
      <c r="O24" s="50">
        <f t="shared" ca="1" si="3"/>
        <v>-0.25573440362832334</v>
      </c>
      <c r="Q24" s="75">
        <f t="shared" si="4"/>
        <v>38667.887799999997</v>
      </c>
    </row>
    <row r="25" spans="1:17" s="50" customFormat="1" ht="12.95" customHeight="1" x14ac:dyDescent="0.2">
      <c r="A25" s="74" t="s">
        <v>43</v>
      </c>
      <c r="B25" s="51" t="s">
        <v>44</v>
      </c>
      <c r="C25" s="74">
        <v>53686.559800000003</v>
      </c>
      <c r="D25" s="74">
        <v>8.9999999999999998E-4</v>
      </c>
      <c r="E25" s="50">
        <f t="shared" si="0"/>
        <v>1969.2849338698338</v>
      </c>
      <c r="F25" s="76">
        <f t="shared" si="5"/>
        <v>1970</v>
      </c>
      <c r="G25" s="50">
        <f t="shared" si="1"/>
        <v>-0.24870000006922055</v>
      </c>
      <c r="H25" s="50">
        <f t="shared" si="2"/>
        <v>-0.24870000006922055</v>
      </c>
      <c r="O25" s="50">
        <f t="shared" ca="1" si="3"/>
        <v>-0.25574033484774289</v>
      </c>
      <c r="Q25" s="75">
        <f t="shared" si="4"/>
        <v>38668.059800000003</v>
      </c>
    </row>
    <row r="26" spans="1:17" s="50" customFormat="1" ht="12.95" customHeight="1" x14ac:dyDescent="0.2">
      <c r="A26" s="74" t="s">
        <v>43</v>
      </c>
      <c r="B26" s="51" t="s">
        <v>42</v>
      </c>
      <c r="C26" s="74">
        <v>53694.384599999998</v>
      </c>
      <c r="D26" s="74">
        <v>2.9999999999999997E-4</v>
      </c>
      <c r="E26" s="50">
        <f t="shared" si="0"/>
        <v>1991.7829212188703</v>
      </c>
      <c r="F26" s="76">
        <f t="shared" si="5"/>
        <v>1992.5</v>
      </c>
      <c r="G26" s="50">
        <f t="shared" si="1"/>
        <v>-0.24940000007336494</v>
      </c>
      <c r="H26" s="50">
        <f t="shared" si="2"/>
        <v>-0.24940000007336494</v>
      </c>
      <c r="O26" s="50">
        <f t="shared" ca="1" si="3"/>
        <v>-0.25600723972162265</v>
      </c>
      <c r="Q26" s="75">
        <f t="shared" si="4"/>
        <v>38675.884599999998</v>
      </c>
    </row>
    <row r="27" spans="1:17" x14ac:dyDescent="0.2">
      <c r="A27" s="9" t="s">
        <v>43</v>
      </c>
      <c r="B27" s="2" t="s">
        <v>44</v>
      </c>
      <c r="C27" s="9">
        <v>53694.559099999999</v>
      </c>
      <c r="D27" s="9">
        <v>1.2999999999999999E-3</v>
      </c>
      <c r="E27">
        <f t="shared" si="0"/>
        <v>1992.2846463482579</v>
      </c>
      <c r="F27" s="30">
        <f t="shared" si="5"/>
        <v>1993</v>
      </c>
      <c r="G27">
        <f t="shared" si="1"/>
        <v>-0.2488000000739703</v>
      </c>
      <c r="H27">
        <f t="shared" si="2"/>
        <v>-0.2488000000739703</v>
      </c>
      <c r="O27">
        <f t="shared" ca="1" si="3"/>
        <v>-0.2560131709410422</v>
      </c>
      <c r="Q27" s="1">
        <f t="shared" si="4"/>
        <v>38676.059099999999</v>
      </c>
    </row>
    <row r="28" spans="1:17" x14ac:dyDescent="0.2">
      <c r="A28" s="9" t="s">
        <v>43</v>
      </c>
      <c r="B28" s="2" t="s">
        <v>44</v>
      </c>
      <c r="C28" s="9">
        <v>53705.332999999999</v>
      </c>
      <c r="D28" s="9">
        <v>3.0000000000000001E-3</v>
      </c>
      <c r="E28">
        <f t="shared" si="0"/>
        <v>2023.261932144693</v>
      </c>
      <c r="F28" s="30">
        <f t="shared" si="5"/>
        <v>2024</v>
      </c>
      <c r="G28">
        <f t="shared" si="1"/>
        <v>-0.25670000007812632</v>
      </c>
      <c r="H28">
        <f t="shared" si="2"/>
        <v>-0.25670000007812632</v>
      </c>
      <c r="O28">
        <f t="shared" ca="1" si="3"/>
        <v>-0.25638090654505435</v>
      </c>
      <c r="Q28" s="1">
        <f t="shared" si="4"/>
        <v>38686.832999999999</v>
      </c>
    </row>
    <row r="29" spans="1:17" x14ac:dyDescent="0.2">
      <c r="A29" s="9" t="s">
        <v>43</v>
      </c>
      <c r="B29" s="2" t="s">
        <v>42</v>
      </c>
      <c r="C29" s="9">
        <v>53705.513099999996</v>
      </c>
      <c r="D29" s="9">
        <v>8.0000000000000004E-4</v>
      </c>
      <c r="E29">
        <f t="shared" si="0"/>
        <v>2023.7797584816619</v>
      </c>
      <c r="F29" s="30">
        <f t="shared" si="5"/>
        <v>2024.5</v>
      </c>
      <c r="G29">
        <f t="shared" si="1"/>
        <v>-0.25050000007468043</v>
      </c>
      <c r="H29">
        <f t="shared" si="2"/>
        <v>-0.25050000007468043</v>
      </c>
      <c r="O29">
        <f t="shared" ca="1" si="3"/>
        <v>-0.25638683776447391</v>
      </c>
      <c r="Q29" s="1">
        <f t="shared" si="4"/>
        <v>38687.013099999996</v>
      </c>
    </row>
    <row r="30" spans="1:17" x14ac:dyDescent="0.2">
      <c r="A30" s="9" t="s">
        <v>43</v>
      </c>
      <c r="B30" s="2" t="s">
        <v>44</v>
      </c>
      <c r="C30" s="9">
        <v>53705.685400000002</v>
      </c>
      <c r="D30" s="9">
        <v>8.9999999999999998E-4</v>
      </c>
      <c r="E30">
        <f t="shared" si="0"/>
        <v>2024.2751581366522</v>
      </c>
      <c r="F30" s="30">
        <f t="shared" si="5"/>
        <v>2025</v>
      </c>
      <c r="G30">
        <f t="shared" si="1"/>
        <v>-0.25210000007064082</v>
      </c>
      <c r="H30">
        <f t="shared" si="2"/>
        <v>-0.25210000007064082</v>
      </c>
      <c r="O30">
        <f t="shared" ca="1" si="3"/>
        <v>-0.25639276898389346</v>
      </c>
      <c r="Q30" s="1">
        <f t="shared" si="4"/>
        <v>38687.185400000002</v>
      </c>
    </row>
    <row r="31" spans="1:17" x14ac:dyDescent="0.2">
      <c r="A31" s="9" t="s">
        <v>43</v>
      </c>
      <c r="B31" s="2" t="s">
        <v>42</v>
      </c>
      <c r="C31" s="9">
        <v>53741.320899999999</v>
      </c>
      <c r="D31" s="9">
        <v>4.0000000000000002E-4</v>
      </c>
      <c r="E31">
        <f t="shared" si="0"/>
        <v>2126.7349051176661</v>
      </c>
      <c r="F31" s="31">
        <f t="shared" ref="F31:F37" si="6">ROUND(2*E31,0)/2+1</f>
        <v>2127.5</v>
      </c>
      <c r="G31">
        <f t="shared" si="1"/>
        <v>-0.26610000007349299</v>
      </c>
      <c r="H31">
        <f t="shared" si="2"/>
        <v>-0.26610000007349299</v>
      </c>
      <c r="O31">
        <f t="shared" ca="1" si="3"/>
        <v>-0.25760866896490137</v>
      </c>
      <c r="Q31" s="1">
        <f t="shared" si="4"/>
        <v>38722.820899999999</v>
      </c>
    </row>
    <row r="32" spans="1:17" x14ac:dyDescent="0.2">
      <c r="A32" s="9" t="s">
        <v>43</v>
      </c>
      <c r="B32" s="2" t="s">
        <v>44</v>
      </c>
      <c r="C32" s="9">
        <v>53741.493300000002</v>
      </c>
      <c r="D32" s="9">
        <v>5.0000000000000001E-4</v>
      </c>
      <c r="E32">
        <f t="shared" si="0"/>
        <v>2127.2305922942132</v>
      </c>
      <c r="F32" s="31">
        <f t="shared" si="6"/>
        <v>2128</v>
      </c>
      <c r="G32">
        <f t="shared" si="1"/>
        <v>-0.26760000007197959</v>
      </c>
      <c r="H32">
        <f t="shared" si="2"/>
        <v>-0.26760000007197959</v>
      </c>
      <c r="O32">
        <f t="shared" ca="1" si="3"/>
        <v>-0.25761460018432092</v>
      </c>
      <c r="Q32" s="1">
        <f t="shared" si="4"/>
        <v>38722.993300000002</v>
      </c>
    </row>
    <row r="33" spans="1:18" x14ac:dyDescent="0.2">
      <c r="A33" s="9" t="s">
        <v>43</v>
      </c>
      <c r="B33" s="2" t="s">
        <v>44</v>
      </c>
      <c r="C33" s="9">
        <v>53760.267999999996</v>
      </c>
      <c r="D33" s="9">
        <v>1.5E-3</v>
      </c>
      <c r="E33">
        <f t="shared" si="0"/>
        <v>2181.2119033925301</v>
      </c>
      <c r="F33" s="31">
        <f t="shared" si="6"/>
        <v>2182</v>
      </c>
      <c r="G33">
        <f t="shared" si="1"/>
        <v>-0.27410000007512281</v>
      </c>
      <c r="H33">
        <f t="shared" si="2"/>
        <v>-0.27410000007512281</v>
      </c>
      <c r="O33">
        <f t="shared" ca="1" si="3"/>
        <v>-0.25825517188163238</v>
      </c>
      <c r="Q33" s="1">
        <f t="shared" si="4"/>
        <v>38741.767999999996</v>
      </c>
    </row>
    <row r="34" spans="1:18" x14ac:dyDescent="0.2">
      <c r="A34" s="9" t="s">
        <v>43</v>
      </c>
      <c r="B34" s="2" t="s">
        <v>42</v>
      </c>
      <c r="C34" s="9">
        <v>53760.445200000002</v>
      </c>
      <c r="D34" s="9">
        <v>8.9999999999999998E-4</v>
      </c>
      <c r="E34">
        <f t="shared" si="0"/>
        <v>2181.7213916041615</v>
      </c>
      <c r="F34" s="31">
        <f t="shared" si="6"/>
        <v>2182.5</v>
      </c>
      <c r="G34">
        <f t="shared" si="1"/>
        <v>-0.27080000007117633</v>
      </c>
      <c r="H34">
        <f t="shared" si="2"/>
        <v>-0.27080000007117633</v>
      </c>
      <c r="O34">
        <f t="shared" ca="1" si="3"/>
        <v>-0.25826110310105194</v>
      </c>
      <c r="Q34" s="1">
        <f t="shared" si="4"/>
        <v>38741.945200000002</v>
      </c>
    </row>
    <row r="35" spans="1:18" x14ac:dyDescent="0.2">
      <c r="A35" s="9" t="s">
        <v>43</v>
      </c>
      <c r="B35" s="2" t="s">
        <v>44</v>
      </c>
      <c r="C35" s="9">
        <v>53768.256000000001</v>
      </c>
      <c r="D35" s="9">
        <v>3.0000000000000001E-3</v>
      </c>
      <c r="E35">
        <f t="shared" si="0"/>
        <v>2204.1791259342344</v>
      </c>
      <c r="F35" s="31">
        <f t="shared" si="6"/>
        <v>2205</v>
      </c>
      <c r="G35">
        <f t="shared" si="1"/>
        <v>-0.28550000007089693</v>
      </c>
      <c r="H35">
        <f t="shared" si="2"/>
        <v>-0.28550000007089693</v>
      </c>
      <c r="O35">
        <f t="shared" ca="1" si="3"/>
        <v>-0.2585280079749317</v>
      </c>
      <c r="Q35" s="1">
        <f t="shared" si="4"/>
        <v>38749.756000000001</v>
      </c>
    </row>
    <row r="36" spans="1:18" x14ac:dyDescent="0.2">
      <c r="A36" s="9" t="s">
        <v>43</v>
      </c>
      <c r="B36" s="2" t="s">
        <v>42</v>
      </c>
      <c r="C36" s="9">
        <v>53768.441800000001</v>
      </c>
      <c r="D36" s="9">
        <v>6.9999999999999999E-4</v>
      </c>
      <c r="E36">
        <f t="shared" si="0"/>
        <v>2204.7133410003621</v>
      </c>
      <c r="F36" s="31">
        <f t="shared" si="6"/>
        <v>2205.5</v>
      </c>
      <c r="G36">
        <f t="shared" si="1"/>
        <v>-0.27360000007320195</v>
      </c>
      <c r="H36">
        <f t="shared" si="2"/>
        <v>-0.27360000007320195</v>
      </c>
      <c r="O36">
        <f t="shared" ca="1" si="3"/>
        <v>-0.25853393919435125</v>
      </c>
      <c r="Q36" s="1">
        <f t="shared" si="4"/>
        <v>38749.941800000001</v>
      </c>
    </row>
    <row r="37" spans="1:18" x14ac:dyDescent="0.2">
      <c r="A37" s="9" t="s">
        <v>41</v>
      </c>
      <c r="B37" s="2" t="s">
        <v>42</v>
      </c>
      <c r="C37" s="9">
        <v>54130.369700000003</v>
      </c>
      <c r="D37" s="9">
        <v>5.0000000000000001E-4</v>
      </c>
      <c r="E37">
        <f t="shared" si="0"/>
        <v>3245.3341000572987</v>
      </c>
      <c r="F37" s="31">
        <f t="shared" si="6"/>
        <v>3246.5</v>
      </c>
      <c r="G37">
        <f t="shared" si="1"/>
        <v>-0.40550000007351628</v>
      </c>
      <c r="H37">
        <f t="shared" si="2"/>
        <v>-0.40550000007351628</v>
      </c>
      <c r="O37">
        <f t="shared" ca="1" si="3"/>
        <v>-0.27088273802585572</v>
      </c>
      <c r="Q37" s="1">
        <f t="shared" si="4"/>
        <v>39111.869700000003</v>
      </c>
      <c r="R37" t="str">
        <f>IF(ABS(C37-C36)&lt;0.00001,1,"")</f>
        <v/>
      </c>
    </row>
    <row r="38" spans="1:18" x14ac:dyDescent="0.2">
      <c r="A38" s="32" t="s">
        <v>45</v>
      </c>
      <c r="B38" s="33" t="s">
        <v>42</v>
      </c>
      <c r="C38" s="32">
        <v>54849.720500000003</v>
      </c>
      <c r="D38" s="32">
        <v>5.0000000000000001E-4</v>
      </c>
      <c r="E38">
        <f t="shared" ref="E38:E55" si="7">+(C38-C$7)/C$8</f>
        <v>5313.6227717076727</v>
      </c>
      <c r="F38" s="31">
        <f t="shared" ref="F38:F55" si="8">ROUND(2*E38,0)/2+1</f>
        <v>5314.5</v>
      </c>
      <c r="G38">
        <f t="shared" ref="G38:G55" si="9">+C38-(C$7+F38*C$8)</f>
        <v>-0.3051000000705244</v>
      </c>
      <c r="H38">
        <f t="shared" ref="H38:H55" si="10">+G38</f>
        <v>-0.3051000000705244</v>
      </c>
      <c r="O38">
        <f t="shared" ref="O38:O55" ca="1" si="11">+C$11+C$12*$F38</f>
        <v>-0.29541426154511724</v>
      </c>
      <c r="Q38" s="1">
        <f t="shared" si="4"/>
        <v>39831.220500000003</v>
      </c>
    </row>
    <row r="39" spans="1:18" x14ac:dyDescent="0.2">
      <c r="A39" s="34" t="s">
        <v>46</v>
      </c>
      <c r="B39" s="35" t="s">
        <v>42</v>
      </c>
      <c r="C39" s="34">
        <v>55153.9349</v>
      </c>
      <c r="D39" s="34">
        <v>4.0000000000000002E-4</v>
      </c>
      <c r="E39">
        <f t="shared" si="7"/>
        <v>6188.3047728577503</v>
      </c>
      <c r="F39" s="31">
        <f t="shared" si="8"/>
        <v>6189.5</v>
      </c>
      <c r="G39">
        <f t="shared" si="9"/>
        <v>-0.41570000007777708</v>
      </c>
      <c r="H39">
        <f t="shared" si="10"/>
        <v>-0.41570000007777708</v>
      </c>
      <c r="O39">
        <f t="shared" ca="1" si="11"/>
        <v>-0.30579389552933089</v>
      </c>
      <c r="Q39" s="1">
        <f t="shared" si="4"/>
        <v>40135.4349</v>
      </c>
    </row>
    <row r="40" spans="1:18" x14ac:dyDescent="0.2">
      <c r="A40" s="36" t="s">
        <v>47</v>
      </c>
      <c r="B40" s="33" t="s">
        <v>42</v>
      </c>
      <c r="C40" s="32">
        <v>55517.958500000001</v>
      </c>
      <c r="D40" s="32">
        <v>4.0000000000000002E-4</v>
      </c>
      <c r="E40">
        <f t="shared" si="7"/>
        <v>7234.9511213338874</v>
      </c>
      <c r="F40" s="31">
        <f t="shared" si="8"/>
        <v>7236</v>
      </c>
      <c r="G40">
        <f t="shared" si="9"/>
        <v>-0.36480000007577473</v>
      </c>
      <c r="H40">
        <f t="shared" si="10"/>
        <v>-0.36480000007577473</v>
      </c>
      <c r="O40">
        <f t="shared" ca="1" si="11"/>
        <v>-0.31820793777445044</v>
      </c>
      <c r="Q40" s="1">
        <f t="shared" si="4"/>
        <v>40499.458500000001</v>
      </c>
    </row>
    <row r="41" spans="1:18" x14ac:dyDescent="0.2">
      <c r="A41" s="37" t="s">
        <v>52</v>
      </c>
      <c r="B41" s="38" t="s">
        <v>44</v>
      </c>
      <c r="C41" s="39">
        <v>55528.560599999997</v>
      </c>
      <c r="D41" s="39">
        <v>2.9999999999999997E-4</v>
      </c>
      <c r="E41">
        <f t="shared" si="7"/>
        <v>7265.4344450831586</v>
      </c>
      <c r="F41" s="31">
        <f t="shared" si="8"/>
        <v>7266.5</v>
      </c>
      <c r="G41">
        <f t="shared" si="9"/>
        <v>-0.37060000007477356</v>
      </c>
      <c r="H41">
        <f t="shared" si="10"/>
        <v>-0.37060000007477356</v>
      </c>
      <c r="O41">
        <f t="shared" ca="1" si="11"/>
        <v>-0.31856974215904305</v>
      </c>
      <c r="Q41" s="1">
        <f t="shared" si="4"/>
        <v>40510.060599999997</v>
      </c>
    </row>
    <row r="42" spans="1:18" x14ac:dyDescent="0.2">
      <c r="A42" s="37" t="s">
        <v>52</v>
      </c>
      <c r="B42" s="38" t="s">
        <v>44</v>
      </c>
      <c r="C42" s="39">
        <v>55595.315000000002</v>
      </c>
      <c r="D42" s="39">
        <v>2.0000000000000001E-4</v>
      </c>
      <c r="E42">
        <f t="shared" si="7"/>
        <v>7457.367740080299</v>
      </c>
      <c r="F42" s="31">
        <f t="shared" si="8"/>
        <v>7458.5</v>
      </c>
      <c r="G42">
        <f t="shared" si="9"/>
        <v>-0.39380000007076887</v>
      </c>
      <c r="H42">
        <f t="shared" si="10"/>
        <v>-0.39380000007076887</v>
      </c>
      <c r="O42">
        <f t="shared" ca="1" si="11"/>
        <v>-0.32084733041615049</v>
      </c>
      <c r="Q42" s="1">
        <f t="shared" si="4"/>
        <v>40576.815000000002</v>
      </c>
    </row>
    <row r="43" spans="1:18" x14ac:dyDescent="0.2">
      <c r="A43" s="45" t="s">
        <v>69</v>
      </c>
      <c r="B43" s="45"/>
      <c r="C43" s="32">
        <v>55873.6325</v>
      </c>
      <c r="D43" s="32">
        <v>5.0000000000000001E-4</v>
      </c>
      <c r="E43">
        <f t="shared" si="7"/>
        <v>8257.5905692924825</v>
      </c>
      <c r="F43" s="31">
        <f t="shared" si="8"/>
        <v>8258.5</v>
      </c>
      <c r="G43">
        <f t="shared" si="9"/>
        <v>-0.31630000007135095</v>
      </c>
      <c r="H43">
        <f t="shared" si="10"/>
        <v>-0.31630000007135095</v>
      </c>
      <c r="O43">
        <f t="shared" ca="1" si="11"/>
        <v>-0.33033728148743152</v>
      </c>
      <c r="Q43" s="1">
        <f t="shared" si="4"/>
        <v>40855.1325</v>
      </c>
    </row>
    <row r="44" spans="1:18" x14ac:dyDescent="0.2">
      <c r="A44" s="34" t="s">
        <v>50</v>
      </c>
      <c r="B44" s="35" t="s">
        <v>42</v>
      </c>
      <c r="C44" s="34">
        <v>55888.930200000003</v>
      </c>
      <c r="D44" s="34">
        <v>5.9999999999999995E-4</v>
      </c>
      <c r="E44">
        <f t="shared" si="7"/>
        <v>8301.5747556064634</v>
      </c>
      <c r="F44" s="31">
        <f t="shared" si="8"/>
        <v>8302.5</v>
      </c>
      <c r="G44">
        <f t="shared" si="9"/>
        <v>-0.32180000007065246</v>
      </c>
      <c r="H44">
        <f t="shared" si="10"/>
        <v>-0.32180000007065246</v>
      </c>
      <c r="O44">
        <f t="shared" ca="1" si="11"/>
        <v>-0.33085922879635199</v>
      </c>
      <c r="Q44" s="1">
        <f t="shared" si="4"/>
        <v>40870.430200000003</v>
      </c>
    </row>
    <row r="45" spans="1:18" x14ac:dyDescent="0.2">
      <c r="A45" s="46" t="s">
        <v>50</v>
      </c>
      <c r="B45" s="47" t="s">
        <v>42</v>
      </c>
      <c r="C45" s="46">
        <v>55888.930200000003</v>
      </c>
      <c r="D45" s="46">
        <v>5.9999999999999995E-4</v>
      </c>
      <c r="E45">
        <f t="shared" si="7"/>
        <v>8301.5747556064634</v>
      </c>
      <c r="F45" s="31">
        <f t="shared" si="8"/>
        <v>8302.5</v>
      </c>
      <c r="G45">
        <f t="shared" si="9"/>
        <v>-0.32180000007065246</v>
      </c>
      <c r="H45">
        <f t="shared" si="10"/>
        <v>-0.32180000007065246</v>
      </c>
      <c r="O45">
        <f t="shared" ca="1" si="11"/>
        <v>-0.33085922879635199</v>
      </c>
      <c r="Q45" s="1">
        <f t="shared" si="4"/>
        <v>40870.430200000003</v>
      </c>
    </row>
    <row r="46" spans="1:18" x14ac:dyDescent="0.2">
      <c r="A46" s="45" t="s">
        <v>70</v>
      </c>
      <c r="B46" s="45"/>
      <c r="C46" s="32">
        <v>55901.448299999996</v>
      </c>
      <c r="D46" s="32">
        <v>8.0000000000000004E-4</v>
      </c>
      <c r="E46">
        <f t="shared" si="7"/>
        <v>8337.5669925242146</v>
      </c>
      <c r="F46" s="31">
        <f t="shared" si="8"/>
        <v>8338.5</v>
      </c>
      <c r="G46">
        <f t="shared" si="9"/>
        <v>-0.3245000000752043</v>
      </c>
      <c r="H46">
        <f t="shared" si="10"/>
        <v>-0.3245000000752043</v>
      </c>
      <c r="O46">
        <f t="shared" ca="1" si="11"/>
        <v>-0.33128627659455967</v>
      </c>
      <c r="Q46" s="1">
        <f t="shared" si="4"/>
        <v>40882.948299999996</v>
      </c>
    </row>
    <row r="47" spans="1:18" x14ac:dyDescent="0.2">
      <c r="A47" s="45" t="s">
        <v>70</v>
      </c>
      <c r="B47" s="45"/>
      <c r="C47" s="32">
        <v>55901.619400000003</v>
      </c>
      <c r="D47" s="32">
        <v>6.9999999999999999E-4</v>
      </c>
      <c r="E47">
        <f t="shared" si="7"/>
        <v>8338.0589419204389</v>
      </c>
      <c r="F47" s="31">
        <f t="shared" si="8"/>
        <v>8339</v>
      </c>
      <c r="G47">
        <f t="shared" si="9"/>
        <v>-0.32730000006995397</v>
      </c>
      <c r="H47">
        <f t="shared" si="10"/>
        <v>-0.32730000006995397</v>
      </c>
      <c r="O47">
        <f t="shared" ca="1" si="11"/>
        <v>-0.33129220781397917</v>
      </c>
      <c r="Q47" s="1">
        <f t="shared" si="4"/>
        <v>40883.119400000003</v>
      </c>
    </row>
    <row r="48" spans="1:18" x14ac:dyDescent="0.2">
      <c r="A48" s="45" t="s">
        <v>71</v>
      </c>
      <c r="B48" s="45"/>
      <c r="C48" s="32">
        <v>56313.616699999999</v>
      </c>
      <c r="D48" s="32">
        <v>4.0000000000000002E-4</v>
      </c>
      <c r="E48">
        <f t="shared" si="7"/>
        <v>9522.6400230015079</v>
      </c>
      <c r="F48" s="31">
        <f t="shared" si="8"/>
        <v>9523.5</v>
      </c>
      <c r="G48">
        <f t="shared" si="9"/>
        <v>-0.299100000076578</v>
      </c>
      <c r="H48">
        <f t="shared" si="10"/>
        <v>-0.299100000076578</v>
      </c>
      <c r="O48">
        <f t="shared" ca="1" si="11"/>
        <v>-0.3453432666188947</v>
      </c>
      <c r="Q48" s="1">
        <f t="shared" si="4"/>
        <v>41295.116699999999</v>
      </c>
    </row>
    <row r="49" spans="1:17" x14ac:dyDescent="0.2">
      <c r="A49" s="45" t="s">
        <v>73</v>
      </c>
      <c r="B49" s="45"/>
      <c r="C49" s="32">
        <v>57028.963799999998</v>
      </c>
      <c r="D49" s="32">
        <v>2.0000000000000001E-4</v>
      </c>
      <c r="E49">
        <f t="shared" si="7"/>
        <v>11579.417193789313</v>
      </c>
      <c r="F49" s="31">
        <f t="shared" si="8"/>
        <v>11580.5</v>
      </c>
      <c r="G49">
        <f t="shared" si="9"/>
        <v>-0.37660000007599592</v>
      </c>
      <c r="H49">
        <f t="shared" si="10"/>
        <v>-0.37660000007599592</v>
      </c>
      <c r="O49">
        <f t="shared" ca="1" si="11"/>
        <v>-0.36974430331092611</v>
      </c>
      <c r="Q49" s="1">
        <f t="shared" si="4"/>
        <v>42010.463799999998</v>
      </c>
    </row>
    <row r="50" spans="1:17" x14ac:dyDescent="0.2">
      <c r="A50" s="45" t="s">
        <v>73</v>
      </c>
      <c r="B50" s="45"/>
      <c r="C50" s="32">
        <v>57029.138700000003</v>
      </c>
      <c r="D50" s="32">
        <v>2.0000000000000001E-4</v>
      </c>
      <c r="E50">
        <f t="shared" si="7"/>
        <v>11579.920069004971</v>
      </c>
      <c r="F50" s="31">
        <f t="shared" si="8"/>
        <v>11581</v>
      </c>
      <c r="G50">
        <f t="shared" si="9"/>
        <v>-0.37560000007215422</v>
      </c>
      <c r="H50">
        <f t="shared" si="10"/>
        <v>-0.37560000007215422</v>
      </c>
      <c r="O50">
        <f t="shared" ca="1" si="11"/>
        <v>-0.36975023453034567</v>
      </c>
      <c r="Q50" s="1">
        <f t="shared" si="4"/>
        <v>42010.638700000003</v>
      </c>
    </row>
    <row r="51" spans="1:17" x14ac:dyDescent="0.2">
      <c r="A51" s="48" t="s">
        <v>58</v>
      </c>
      <c r="B51" s="49" t="s">
        <v>44</v>
      </c>
      <c r="C51" s="48">
        <v>57388.287400000001</v>
      </c>
      <c r="D51" s="48" t="s">
        <v>57</v>
      </c>
      <c r="E51">
        <f t="shared" si="7"/>
        <v>12612.550028751946</v>
      </c>
      <c r="F51" s="31">
        <f t="shared" si="8"/>
        <v>12613.5</v>
      </c>
      <c r="G51">
        <f t="shared" si="9"/>
        <v>-0.33040000007167691</v>
      </c>
      <c r="H51">
        <f t="shared" si="10"/>
        <v>-0.33040000007167691</v>
      </c>
      <c r="O51">
        <f t="shared" ca="1" si="11"/>
        <v>-0.3819982026317178</v>
      </c>
      <c r="Q51" s="1">
        <f t="shared" si="4"/>
        <v>42369.787400000001</v>
      </c>
    </row>
    <row r="52" spans="1:17" x14ac:dyDescent="0.2">
      <c r="A52" s="45" t="s">
        <v>73</v>
      </c>
      <c r="B52" s="45"/>
      <c r="C52" s="32">
        <v>57406.020499999999</v>
      </c>
      <c r="D52" s="32">
        <v>2.0000000000000001E-4</v>
      </c>
      <c r="E52">
        <f t="shared" si="7"/>
        <v>12663.536515238426</v>
      </c>
      <c r="F52" s="31">
        <f t="shared" si="8"/>
        <v>12664.5</v>
      </c>
      <c r="G52">
        <f t="shared" si="9"/>
        <v>-0.33510000007663621</v>
      </c>
      <c r="H52">
        <f t="shared" si="10"/>
        <v>-0.33510000007663621</v>
      </c>
      <c r="O52">
        <f t="shared" ca="1" si="11"/>
        <v>-0.38260318701251195</v>
      </c>
      <c r="Q52" s="1">
        <f t="shared" si="4"/>
        <v>42387.520499999999</v>
      </c>
    </row>
    <row r="53" spans="1:17" x14ac:dyDescent="0.2">
      <c r="A53" s="45" t="s">
        <v>73</v>
      </c>
      <c r="B53" s="45"/>
      <c r="C53" s="32">
        <v>57406.194499999998</v>
      </c>
      <c r="D53" s="32">
        <v>2.0000000000000001E-4</v>
      </c>
      <c r="E53">
        <f t="shared" si="7"/>
        <v>12664.036802759987</v>
      </c>
      <c r="F53" s="31">
        <f t="shared" si="8"/>
        <v>12665</v>
      </c>
      <c r="G53">
        <f t="shared" si="9"/>
        <v>-0.33500000007916242</v>
      </c>
      <c r="H53">
        <f t="shared" si="10"/>
        <v>-0.33500000007916242</v>
      </c>
      <c r="O53">
        <f t="shared" ca="1" si="11"/>
        <v>-0.3826091182319315</v>
      </c>
      <c r="Q53" s="1">
        <f t="shared" si="4"/>
        <v>42387.694499999998</v>
      </c>
    </row>
    <row r="54" spans="1:17" x14ac:dyDescent="0.2">
      <c r="C54" s="9"/>
      <c r="D54" s="9"/>
      <c r="F54" s="31"/>
      <c r="Q54" s="1"/>
    </row>
    <row r="55" spans="1:17" x14ac:dyDescent="0.2">
      <c r="C55" s="9"/>
      <c r="D55" s="9"/>
      <c r="F55" s="31"/>
      <c r="Q55" s="1"/>
    </row>
    <row r="56" spans="1:17" x14ac:dyDescent="0.2">
      <c r="C56" s="9"/>
      <c r="D56" s="9"/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14"/>
  <sheetViews>
    <sheetView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51</v>
      </c>
    </row>
    <row r="2" spans="1:6" x14ac:dyDescent="0.2">
      <c r="A2" t="s">
        <v>23</v>
      </c>
      <c r="B2" s="11" t="s">
        <v>37</v>
      </c>
      <c r="C2" s="2"/>
      <c r="D2" s="2"/>
    </row>
    <row r="3" spans="1:6" ht="13.5" thickBot="1" x14ac:dyDescent="0.25"/>
    <row r="4" spans="1:6" ht="14.25" thickTop="1" thickBot="1" x14ac:dyDescent="0.25">
      <c r="A4" s="28" t="s">
        <v>38</v>
      </c>
      <c r="C4" s="7">
        <v>53001.642500000075</v>
      </c>
      <c r="D4" s="8">
        <v>0.3478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4" t="s">
        <v>0</v>
      </c>
    </row>
    <row r="7" spans="1:6" x14ac:dyDescent="0.2">
      <c r="A7" t="s">
        <v>1</v>
      </c>
      <c r="C7">
        <v>54130.194554542017</v>
      </c>
    </row>
    <row r="8" spans="1:6" x14ac:dyDescent="0.2">
      <c r="A8" t="s">
        <v>2</v>
      </c>
      <c r="C8">
        <v>0.34767482497208269</v>
      </c>
    </row>
    <row r="9" spans="1:6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14</v>
      </c>
      <c r="B11" s="11"/>
      <c r="C11" s="22">
        <f ca="1">INTERCEPT(INDIRECT($D$9):G966,INDIRECT($C$9):F966)</f>
        <v>4.4179209598863524E-3</v>
      </c>
      <c r="D11" s="2"/>
      <c r="E11" s="11"/>
    </row>
    <row r="12" spans="1:6" x14ac:dyDescent="0.2">
      <c r="A12" s="11" t="s">
        <v>15</v>
      </c>
      <c r="B12" s="11"/>
      <c r="C12" s="22">
        <f ca="1">SLOPE(INDIRECT($D$9):G966,INDIRECT($C$9):F966)</f>
        <v>3.2478802634120107E-6</v>
      </c>
      <c r="D12" s="2"/>
      <c r="E12" s="11"/>
    </row>
    <row r="13" spans="1:6" x14ac:dyDescent="0.2">
      <c r="A13" s="11" t="s">
        <v>18</v>
      </c>
      <c r="B13" s="11"/>
      <c r="C13" s="2" t="s">
        <v>12</v>
      </c>
    </row>
    <row r="14" spans="1:6" x14ac:dyDescent="0.2">
      <c r="A14" s="11"/>
      <c r="B14" s="11"/>
      <c r="C14" s="11"/>
    </row>
    <row r="15" spans="1:6" x14ac:dyDescent="0.2">
      <c r="A15" s="13" t="s">
        <v>16</v>
      </c>
      <c r="B15" s="11"/>
      <c r="C15" s="14">
        <f ca="1">(C7+C11)+(C8+C12)*INT(MAX(F21:F3507))</f>
        <v>57406.02177487778</v>
      </c>
      <c r="E15" s="15" t="s">
        <v>48</v>
      </c>
      <c r="F15" s="12">
        <v>1</v>
      </c>
    </row>
    <row r="16" spans="1:6" x14ac:dyDescent="0.2">
      <c r="A16" s="17" t="s">
        <v>3</v>
      </c>
      <c r="B16" s="11"/>
      <c r="C16" s="18">
        <f ca="1">+C8+C12</f>
        <v>0.34767807285234609</v>
      </c>
      <c r="E16" s="15" t="s">
        <v>31</v>
      </c>
      <c r="F16" s="16">
        <f ca="1">NOW()+15018.5+$C$5/24</f>
        <v>60378.567487731481</v>
      </c>
    </row>
    <row r="17" spans="1:21" ht="13.5" thickBot="1" x14ac:dyDescent="0.25">
      <c r="A17" s="15" t="s">
        <v>28</v>
      </c>
      <c r="B17" s="11"/>
      <c r="C17" s="11">
        <f>COUNT(C21:C2165)</f>
        <v>36</v>
      </c>
      <c r="E17" s="15" t="s">
        <v>49</v>
      </c>
      <c r="F17" s="16">
        <f ca="1">ROUND(2*(F16-$C$7)/$C$8,0)/2+F15</f>
        <v>17973</v>
      </c>
    </row>
    <row r="18" spans="1:21" ht="14.25" thickTop="1" thickBot="1" x14ac:dyDescent="0.25">
      <c r="A18" s="17" t="s">
        <v>4</v>
      </c>
      <c r="B18" s="11"/>
      <c r="C18" s="20">
        <f ca="1">+C15</f>
        <v>57406.02177487778</v>
      </c>
      <c r="D18" s="21">
        <f ca="1">+C16</f>
        <v>0.34767807285234609</v>
      </c>
      <c r="E18" s="15" t="s">
        <v>32</v>
      </c>
      <c r="F18" s="24">
        <f ca="1">ROUND(2*(F16-$C$15)/$C$16,0)/2+F15</f>
        <v>8550.5</v>
      </c>
    </row>
    <row r="19" spans="1:21" ht="13.5" thickTop="1" x14ac:dyDescent="0.2">
      <c r="E19" s="15" t="s">
        <v>33</v>
      </c>
      <c r="F19" s="19">
        <f ca="1">+$C$15+$C$16*F18-15018.5-$C$5/24</f>
        <v>45360.738970135098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53</v>
      </c>
      <c r="I20" s="6" t="s">
        <v>54</v>
      </c>
      <c r="J20" s="6" t="s">
        <v>55</v>
      </c>
      <c r="K20" s="6" t="s">
        <v>56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U20" s="44" t="s">
        <v>74</v>
      </c>
    </row>
    <row r="21" spans="1:21" x14ac:dyDescent="0.2">
      <c r="A21" s="29" t="s">
        <v>39</v>
      </c>
      <c r="C21" s="9">
        <v>53001.642500000075</v>
      </c>
      <c r="D21" s="9" t="s">
        <v>12</v>
      </c>
      <c r="E21">
        <f t="shared" ref="E21:E55" si="0">+(C21-C$7)/C$8</f>
        <v>-3245.9987709278685</v>
      </c>
      <c r="F21">
        <f t="shared" ref="F21:F55" si="1">ROUND(2*E21,0)/2</f>
        <v>-3246</v>
      </c>
      <c r="O21">
        <f t="shared" ref="O21:O55" ca="1" si="2">+C$11+C$12*$F21</f>
        <v>-6.1246983751490338E-3</v>
      </c>
      <c r="Q21" s="1">
        <f>+C21-15018.5</f>
        <v>37983.142500000075</v>
      </c>
      <c r="U21">
        <f>+C21-(C$7+F21*C$8)</f>
        <v>4.2731744179036468E-4</v>
      </c>
    </row>
    <row r="22" spans="1:21" x14ac:dyDescent="0.2">
      <c r="A22" s="9" t="s">
        <v>43</v>
      </c>
      <c r="B22" s="2" t="s">
        <v>44</v>
      </c>
      <c r="C22" s="9">
        <v>53683.430699999997</v>
      </c>
      <c r="D22" s="9">
        <v>1.4E-3</v>
      </c>
      <c r="E22">
        <f t="shared" si="0"/>
        <v>-1285.0049024340299</v>
      </c>
      <c r="F22">
        <f t="shared" si="1"/>
        <v>-1285</v>
      </c>
      <c r="G22">
        <f t="shared" ref="G22:G36" si="3">+C22-(C$7+F22*C$8)</f>
        <v>-1.7044528940459713E-3</v>
      </c>
      <c r="J22">
        <f t="shared" ref="J22:J36" si="4">G22</f>
        <v>-1.7044528940459713E-3</v>
      </c>
      <c r="O22">
        <f t="shared" ca="1" si="2"/>
        <v>2.4439482140191891E-4</v>
      </c>
      <c r="Q22" s="1">
        <f t="shared" ref="Q22:Q55" si="5">+C22-15018.5</f>
        <v>38664.930699999997</v>
      </c>
    </row>
    <row r="23" spans="1:21" x14ac:dyDescent="0.2">
      <c r="A23" s="40" t="s">
        <v>43</v>
      </c>
      <c r="B23" s="41" t="s">
        <v>44</v>
      </c>
      <c r="C23" s="40">
        <v>53683.430699999997</v>
      </c>
      <c r="D23" s="40">
        <v>1.4E-3</v>
      </c>
      <c r="E23">
        <f t="shared" si="0"/>
        <v>-1285.0049024340299</v>
      </c>
      <c r="F23">
        <f t="shared" si="1"/>
        <v>-1285</v>
      </c>
      <c r="G23">
        <f t="shared" si="3"/>
        <v>-1.7044528940459713E-3</v>
      </c>
      <c r="J23">
        <f t="shared" si="4"/>
        <v>-1.7044528940459713E-3</v>
      </c>
      <c r="O23">
        <f t="shared" ca="1" si="2"/>
        <v>2.4439482140191891E-4</v>
      </c>
      <c r="Q23" s="1">
        <f t="shared" si="5"/>
        <v>38664.930699999997</v>
      </c>
    </row>
    <row r="24" spans="1:21" x14ac:dyDescent="0.2">
      <c r="A24" s="9" t="s">
        <v>43</v>
      </c>
      <c r="B24" s="2" t="s">
        <v>42</v>
      </c>
      <c r="C24" s="9">
        <v>53683.608</v>
      </c>
      <c r="D24" s="9">
        <v>1E-3</v>
      </c>
      <c r="E24">
        <f t="shared" si="0"/>
        <v>-1284.494943163849</v>
      </c>
      <c r="F24">
        <f t="shared" si="1"/>
        <v>-1284.5</v>
      </c>
      <c r="G24">
        <f t="shared" si="3"/>
        <v>1.7581346255610697E-3</v>
      </c>
      <c r="J24">
        <f t="shared" si="4"/>
        <v>1.7581346255610697E-3</v>
      </c>
      <c r="O24">
        <f t="shared" ca="1" si="2"/>
        <v>2.4601876153362498E-4</v>
      </c>
      <c r="Q24" s="1">
        <f t="shared" si="5"/>
        <v>38665.108</v>
      </c>
    </row>
    <row r="25" spans="1:21" x14ac:dyDescent="0.2">
      <c r="A25" s="9" t="s">
        <v>43</v>
      </c>
      <c r="B25" s="2" t="s">
        <v>42</v>
      </c>
      <c r="C25" s="9">
        <v>53686.387799999997</v>
      </c>
      <c r="D25" s="9">
        <v>1.1999999999999999E-3</v>
      </c>
      <c r="E25">
        <f t="shared" si="0"/>
        <v>-1276.4995411377754</v>
      </c>
      <c r="F25">
        <f t="shared" si="1"/>
        <v>-1276.5</v>
      </c>
      <c r="G25">
        <f t="shared" si="3"/>
        <v>1.5953484398778528E-4</v>
      </c>
      <c r="J25">
        <f t="shared" si="4"/>
        <v>1.5953484398778528E-4</v>
      </c>
      <c r="O25">
        <f t="shared" ca="1" si="2"/>
        <v>2.7200180364092032E-4</v>
      </c>
      <c r="Q25" s="1">
        <f t="shared" si="5"/>
        <v>38667.887799999997</v>
      </c>
    </row>
    <row r="26" spans="1:21" x14ac:dyDescent="0.2">
      <c r="A26" s="9" t="s">
        <v>43</v>
      </c>
      <c r="B26" s="2" t="s">
        <v>44</v>
      </c>
      <c r="C26" s="9">
        <v>53686.559800000003</v>
      </c>
      <c r="D26" s="9">
        <v>8.9999999999999998E-4</v>
      </c>
      <c r="E26">
        <f t="shared" si="0"/>
        <v>-1276.0048259969258</v>
      </c>
      <c r="F26">
        <f t="shared" si="1"/>
        <v>-1276</v>
      </c>
      <c r="G26">
        <f t="shared" si="3"/>
        <v>-1.6778776334831491E-3</v>
      </c>
      <c r="J26">
        <f t="shared" si="4"/>
        <v>-1.6778776334831491E-3</v>
      </c>
      <c r="O26">
        <f t="shared" ca="1" si="2"/>
        <v>2.7362574377262638E-4</v>
      </c>
      <c r="Q26" s="1">
        <f t="shared" si="5"/>
        <v>38668.059800000003</v>
      </c>
    </row>
    <row r="27" spans="1:21" x14ac:dyDescent="0.2">
      <c r="A27" s="9" t="s">
        <v>43</v>
      </c>
      <c r="B27" s="2" t="s">
        <v>42</v>
      </c>
      <c r="C27" s="9">
        <v>53694.384599999998</v>
      </c>
      <c r="D27" s="9">
        <v>2.9999999999999997E-4</v>
      </c>
      <c r="E27">
        <f t="shared" si="0"/>
        <v>-1253.4987385900415</v>
      </c>
      <c r="F27">
        <f t="shared" si="1"/>
        <v>-1253.5</v>
      </c>
      <c r="G27">
        <f t="shared" si="3"/>
        <v>4.3856048432644457E-4</v>
      </c>
      <c r="J27">
        <f t="shared" si="4"/>
        <v>4.3856048432644457E-4</v>
      </c>
      <c r="O27">
        <f t="shared" ca="1" si="2"/>
        <v>3.467030496993968E-4</v>
      </c>
      <c r="Q27" s="1">
        <f t="shared" si="5"/>
        <v>38675.884599999998</v>
      </c>
    </row>
    <row r="28" spans="1:21" x14ac:dyDescent="0.2">
      <c r="A28" s="9" t="s">
        <v>43</v>
      </c>
      <c r="B28" s="2" t="s">
        <v>44</v>
      </c>
      <c r="C28" s="9">
        <v>53694.559099999999</v>
      </c>
      <c r="D28" s="9">
        <v>1.2999999999999999E-3</v>
      </c>
      <c r="E28">
        <f t="shared" si="0"/>
        <v>-1252.9968328221591</v>
      </c>
      <c r="F28">
        <f t="shared" si="1"/>
        <v>-1253</v>
      </c>
      <c r="G28">
        <f t="shared" si="3"/>
        <v>1.101148001907859E-3</v>
      </c>
      <c r="J28">
        <f t="shared" si="4"/>
        <v>1.101148001907859E-3</v>
      </c>
      <c r="O28">
        <f t="shared" ca="1" si="2"/>
        <v>3.4832698983110286E-4</v>
      </c>
      <c r="Q28" s="1">
        <f t="shared" si="5"/>
        <v>38676.059099999999</v>
      </c>
    </row>
    <row r="29" spans="1:21" x14ac:dyDescent="0.2">
      <c r="A29" s="9" t="s">
        <v>43</v>
      </c>
      <c r="B29" s="2" t="s">
        <v>44</v>
      </c>
      <c r="C29" s="9">
        <v>53705.332999999999</v>
      </c>
      <c r="D29" s="9">
        <v>3.0000000000000001E-3</v>
      </c>
      <c r="E29">
        <f t="shared" si="0"/>
        <v>-1222.0083941255546</v>
      </c>
      <c r="F29">
        <f t="shared" si="1"/>
        <v>-1222</v>
      </c>
      <c r="G29">
        <f t="shared" si="3"/>
        <v>-2.9184261366026476E-3</v>
      </c>
      <c r="J29">
        <f t="shared" si="4"/>
        <v>-2.9184261366026476E-3</v>
      </c>
      <c r="O29">
        <f t="shared" ca="1" si="2"/>
        <v>4.4901127799687555E-4</v>
      </c>
      <c r="Q29" s="1">
        <f t="shared" si="5"/>
        <v>38686.832999999999</v>
      </c>
    </row>
    <row r="30" spans="1:21" x14ac:dyDescent="0.2">
      <c r="A30" s="9" t="s">
        <v>43</v>
      </c>
      <c r="B30" s="2" t="s">
        <v>42</v>
      </c>
      <c r="C30" s="9">
        <v>53705.513099999996</v>
      </c>
      <c r="D30" s="9">
        <v>8.0000000000000004E-4</v>
      </c>
      <c r="E30">
        <f t="shared" si="0"/>
        <v>-1221.4903813530962</v>
      </c>
      <c r="F30">
        <f t="shared" si="1"/>
        <v>-1221.5</v>
      </c>
      <c r="G30">
        <f t="shared" si="3"/>
        <v>3.3441613777540624E-3</v>
      </c>
      <c r="J30">
        <f t="shared" si="4"/>
        <v>3.3441613777540624E-3</v>
      </c>
      <c r="O30">
        <f t="shared" ca="1" si="2"/>
        <v>4.5063521812858161E-4</v>
      </c>
      <c r="Q30" s="1">
        <f t="shared" si="5"/>
        <v>38687.013099999996</v>
      </c>
    </row>
    <row r="31" spans="1:21" x14ac:dyDescent="0.2">
      <c r="A31" s="42" t="s">
        <v>60</v>
      </c>
      <c r="B31" s="42"/>
      <c r="C31" s="43">
        <v>53705.683900000004</v>
      </c>
      <c r="D31" s="43" t="s">
        <v>59</v>
      </c>
      <c r="E31">
        <f t="shared" si="0"/>
        <v>-1220.9991177132256</v>
      </c>
      <c r="F31">
        <f t="shared" si="1"/>
        <v>-1221</v>
      </c>
      <c r="G31">
        <f t="shared" si="3"/>
        <v>3.0674890149384737E-4</v>
      </c>
      <c r="J31">
        <f t="shared" si="4"/>
        <v>3.0674890149384737E-4</v>
      </c>
      <c r="O31">
        <f t="shared" ca="1" si="2"/>
        <v>4.5225915826028681E-4</v>
      </c>
      <c r="Q31" s="1">
        <f t="shared" si="5"/>
        <v>38687.183900000004</v>
      </c>
    </row>
    <row r="32" spans="1:21" x14ac:dyDescent="0.2">
      <c r="A32" s="9" t="s">
        <v>43</v>
      </c>
      <c r="B32" s="2" t="s">
        <v>44</v>
      </c>
      <c r="C32" s="9">
        <v>53705.685400000002</v>
      </c>
      <c r="D32" s="9">
        <v>8.9999999999999998E-4</v>
      </c>
      <c r="E32">
        <f t="shared" si="0"/>
        <v>-1220.9948033370017</v>
      </c>
      <c r="F32">
        <f t="shared" si="1"/>
        <v>-1221</v>
      </c>
      <c r="G32">
        <f t="shared" si="3"/>
        <v>1.8067488999804482E-3</v>
      </c>
      <c r="J32">
        <f t="shared" si="4"/>
        <v>1.8067488999804482E-3</v>
      </c>
      <c r="O32">
        <f t="shared" ca="1" si="2"/>
        <v>4.5225915826028681E-4</v>
      </c>
      <c r="Q32" s="1">
        <f t="shared" si="5"/>
        <v>38687.185400000002</v>
      </c>
    </row>
    <row r="33" spans="1:21" x14ac:dyDescent="0.2">
      <c r="A33" s="9" t="s">
        <v>43</v>
      </c>
      <c r="B33" s="2" t="s">
        <v>42</v>
      </c>
      <c r="C33" s="9">
        <v>53741.320899999999</v>
      </c>
      <c r="D33" s="9">
        <v>4.0000000000000002E-4</v>
      </c>
      <c r="E33">
        <f t="shared" si="0"/>
        <v>-1118.498167283879</v>
      </c>
      <c r="F33">
        <f t="shared" si="1"/>
        <v>-1118.5</v>
      </c>
      <c r="G33">
        <f t="shared" si="3"/>
        <v>6.371892595780082E-4</v>
      </c>
      <c r="J33">
        <f t="shared" si="4"/>
        <v>6.371892595780082E-4</v>
      </c>
      <c r="O33">
        <f t="shared" ca="1" si="2"/>
        <v>7.851668852600184E-4</v>
      </c>
      <c r="Q33" s="1">
        <f t="shared" si="5"/>
        <v>38722.820899999999</v>
      </c>
    </row>
    <row r="34" spans="1:21" x14ac:dyDescent="0.2">
      <c r="A34" s="9" t="s">
        <v>43</v>
      </c>
      <c r="B34" s="2" t="s">
        <v>44</v>
      </c>
      <c r="C34" s="9">
        <v>53741.493300000002</v>
      </c>
      <c r="D34" s="9">
        <v>5.0000000000000001E-4</v>
      </c>
      <c r="E34">
        <f t="shared" si="0"/>
        <v>-1118.0023016427101</v>
      </c>
      <c r="F34">
        <f t="shared" si="1"/>
        <v>-1118</v>
      </c>
      <c r="G34">
        <f t="shared" si="3"/>
        <v>-8.0022322799777612E-4</v>
      </c>
      <c r="J34">
        <f t="shared" si="4"/>
        <v>-8.0022322799777612E-4</v>
      </c>
      <c r="O34">
        <f t="shared" ca="1" si="2"/>
        <v>7.8679082539172447E-4</v>
      </c>
      <c r="Q34" s="1">
        <f t="shared" si="5"/>
        <v>38722.993300000002</v>
      </c>
    </row>
    <row r="35" spans="1:21" x14ac:dyDescent="0.2">
      <c r="A35" s="9" t="s">
        <v>43</v>
      </c>
      <c r="B35" s="2" t="s">
        <v>44</v>
      </c>
      <c r="C35" s="9">
        <v>53760.267999999996</v>
      </c>
      <c r="D35" s="9">
        <v>1.5E-3</v>
      </c>
      <c r="E35">
        <f t="shared" si="0"/>
        <v>-1064.0015553951148</v>
      </c>
      <c r="F35">
        <f t="shared" si="1"/>
        <v>-1064</v>
      </c>
      <c r="G35">
        <f t="shared" si="3"/>
        <v>-5.4077172535471618E-4</v>
      </c>
      <c r="J35">
        <f t="shared" si="4"/>
        <v>-5.4077172535471618E-4</v>
      </c>
      <c r="O35">
        <f t="shared" ca="1" si="2"/>
        <v>9.6217635961597277E-4</v>
      </c>
      <c r="Q35" s="1">
        <f t="shared" si="5"/>
        <v>38741.767999999996</v>
      </c>
    </row>
    <row r="36" spans="1:21" x14ac:dyDescent="0.2">
      <c r="A36" s="9" t="s">
        <v>43</v>
      </c>
      <c r="B36" s="2" t="s">
        <v>42</v>
      </c>
      <c r="C36" s="9">
        <v>53760.445200000002</v>
      </c>
      <c r="D36" s="9">
        <v>8.9999999999999998E-4</v>
      </c>
      <c r="E36">
        <f t="shared" si="0"/>
        <v>-1063.4918837500086</v>
      </c>
      <c r="F36">
        <f t="shared" si="1"/>
        <v>-1063.5</v>
      </c>
      <c r="G36">
        <f t="shared" si="3"/>
        <v>2.8218157967785373E-3</v>
      </c>
      <c r="J36">
        <f t="shared" si="4"/>
        <v>2.8218157967785373E-3</v>
      </c>
      <c r="O36">
        <f t="shared" ca="1" si="2"/>
        <v>9.6380029974767883E-4</v>
      </c>
      <c r="Q36" s="1">
        <f t="shared" si="5"/>
        <v>38741.945200000002</v>
      </c>
    </row>
    <row r="37" spans="1:21" x14ac:dyDescent="0.2">
      <c r="A37" s="9" t="s">
        <v>43</v>
      </c>
      <c r="B37" s="2" t="s">
        <v>44</v>
      </c>
      <c r="C37" s="9">
        <v>53768.256000000001</v>
      </c>
      <c r="D37" s="9">
        <v>3.0000000000000001E-3</v>
      </c>
      <c r="E37">
        <f t="shared" si="0"/>
        <v>-1041.0260638545749</v>
      </c>
      <c r="F37">
        <f t="shared" si="1"/>
        <v>-1041</v>
      </c>
      <c r="O37">
        <f t="shared" ca="1" si="2"/>
        <v>1.0368776056744492E-3</v>
      </c>
      <c r="Q37" s="1">
        <f t="shared" si="5"/>
        <v>38749.756000000001</v>
      </c>
      <c r="U37">
        <f>+C37-(C$7+F37*C$8)</f>
        <v>-9.0617460809880868E-3</v>
      </c>
    </row>
    <row r="38" spans="1:21" x14ac:dyDescent="0.2">
      <c r="A38" s="9" t="s">
        <v>43</v>
      </c>
      <c r="B38" s="2" t="s">
        <v>42</v>
      </c>
      <c r="C38" s="9">
        <v>53768.441800000001</v>
      </c>
      <c r="D38" s="9">
        <v>6.9999999999999999E-4</v>
      </c>
      <c r="E38">
        <f t="shared" si="0"/>
        <v>-1040.4916564524449</v>
      </c>
      <c r="F38">
        <f t="shared" si="1"/>
        <v>-1040.5</v>
      </c>
      <c r="G38">
        <f t="shared" ref="G38:G55" si="6">+C38-(C$7+F38*C$8)</f>
        <v>2.900841434893664E-3</v>
      </c>
      <c r="J38">
        <f>G38</f>
        <v>2.900841434893664E-3</v>
      </c>
      <c r="O38">
        <f t="shared" ca="1" si="2"/>
        <v>1.0385015458061553E-3</v>
      </c>
      <c r="Q38" s="1">
        <f t="shared" si="5"/>
        <v>38749.941800000001</v>
      </c>
    </row>
    <row r="39" spans="1:21" x14ac:dyDescent="0.2">
      <c r="A39" s="9" t="s">
        <v>41</v>
      </c>
      <c r="B39" s="2" t="s">
        <v>42</v>
      </c>
      <c r="C39" s="9">
        <v>54130.369700000003</v>
      </c>
      <c r="D39" s="9">
        <v>5.0000000000000001E-4</v>
      </c>
      <c r="E39">
        <f t="shared" si="0"/>
        <v>0.50376226694090398</v>
      </c>
      <c r="F39">
        <f t="shared" si="1"/>
        <v>0.5</v>
      </c>
      <c r="G39">
        <f t="shared" si="6"/>
        <v>1.3080455028102733E-3</v>
      </c>
      <c r="K39">
        <f t="shared" ref="K39:K55" si="7">G39</f>
        <v>1.3080455028102733E-3</v>
      </c>
      <c r="O39">
        <f t="shared" ca="1" si="2"/>
        <v>4.4195449000180584E-3</v>
      </c>
      <c r="Q39" s="1">
        <f t="shared" si="5"/>
        <v>39111.869700000003</v>
      </c>
    </row>
    <row r="40" spans="1:21" x14ac:dyDescent="0.2">
      <c r="A40" s="32" t="s">
        <v>45</v>
      </c>
      <c r="B40" s="33" t="s">
        <v>42</v>
      </c>
      <c r="C40" s="32">
        <v>54849.720500000003</v>
      </c>
      <c r="D40" s="32">
        <v>5.0000000000000001E-4</v>
      </c>
      <c r="E40">
        <f t="shared" si="0"/>
        <v>2069.5370897670323</v>
      </c>
      <c r="F40">
        <f t="shared" si="1"/>
        <v>2069.5</v>
      </c>
      <c r="G40">
        <f t="shared" si="6"/>
        <v>1.2895178260805551E-2</v>
      </c>
      <c r="K40">
        <f t="shared" si="7"/>
        <v>1.2895178260805551E-2</v>
      </c>
      <c r="O40">
        <f t="shared" ca="1" si="2"/>
        <v>1.1139409165017509E-2</v>
      </c>
      <c r="Q40" s="1">
        <f t="shared" si="5"/>
        <v>39831.220500000003</v>
      </c>
    </row>
    <row r="41" spans="1:21" x14ac:dyDescent="0.2">
      <c r="A41" s="34" t="s">
        <v>46</v>
      </c>
      <c r="B41" s="35" t="s">
        <v>42</v>
      </c>
      <c r="C41" s="34">
        <v>55153.9349</v>
      </c>
      <c r="D41" s="34">
        <v>4.0000000000000002E-4</v>
      </c>
      <c r="E41">
        <f t="shared" si="0"/>
        <v>2944.5340068559376</v>
      </c>
      <c r="F41">
        <f t="shared" si="1"/>
        <v>2944.5</v>
      </c>
      <c r="G41">
        <f t="shared" si="6"/>
        <v>1.1823327688034624E-2</v>
      </c>
      <c r="K41">
        <f t="shared" si="7"/>
        <v>1.1823327688034624E-2</v>
      </c>
      <c r="O41">
        <f t="shared" ca="1" si="2"/>
        <v>1.3981304395503019E-2</v>
      </c>
      <c r="Q41" s="1">
        <f t="shared" si="5"/>
        <v>40135.4349</v>
      </c>
    </row>
    <row r="42" spans="1:21" x14ac:dyDescent="0.2">
      <c r="A42" s="36" t="s">
        <v>47</v>
      </c>
      <c r="B42" s="33" t="s">
        <v>42</v>
      </c>
      <c r="C42" s="32">
        <v>55517.958500000001</v>
      </c>
      <c r="D42" s="32">
        <v>4.0000000000000002E-4</v>
      </c>
      <c r="E42">
        <f t="shared" si="0"/>
        <v>3991.5571844162646</v>
      </c>
      <c r="F42">
        <f t="shared" si="1"/>
        <v>3991.5</v>
      </c>
      <c r="G42">
        <f t="shared" si="6"/>
        <v>1.9881581916706637E-2</v>
      </c>
      <c r="K42">
        <f t="shared" si="7"/>
        <v>1.9881581916706637E-2</v>
      </c>
      <c r="O42">
        <f t="shared" ca="1" si="2"/>
        <v>1.7381835031295392E-2</v>
      </c>
      <c r="Q42" s="1">
        <f t="shared" si="5"/>
        <v>40499.458500000001</v>
      </c>
    </row>
    <row r="43" spans="1:21" x14ac:dyDescent="0.2">
      <c r="A43" s="37" t="s">
        <v>52</v>
      </c>
      <c r="B43" s="38" t="s">
        <v>44</v>
      </c>
      <c r="C43" s="39">
        <v>55528.560599999997</v>
      </c>
      <c r="D43" s="39">
        <v>2.9999999999999997E-4</v>
      </c>
      <c r="E43">
        <f t="shared" si="0"/>
        <v>4022.0514832221897</v>
      </c>
      <c r="F43">
        <f t="shared" si="1"/>
        <v>4022</v>
      </c>
      <c r="G43">
        <f t="shared" si="6"/>
        <v>1.7899420265166555E-2</v>
      </c>
      <c r="K43">
        <f t="shared" si="7"/>
        <v>1.7899420265166555E-2</v>
      </c>
      <c r="O43">
        <f t="shared" ca="1" si="2"/>
        <v>1.748089537932946E-2</v>
      </c>
      <c r="Q43" s="1">
        <f t="shared" si="5"/>
        <v>40510.060599999997</v>
      </c>
    </row>
    <row r="44" spans="1:21" x14ac:dyDescent="0.2">
      <c r="A44" s="37" t="s">
        <v>52</v>
      </c>
      <c r="B44" s="38" t="s">
        <v>44</v>
      </c>
      <c r="C44" s="39">
        <v>55595.315000000002</v>
      </c>
      <c r="D44" s="39">
        <v>2.0000000000000001E-4</v>
      </c>
      <c r="E44">
        <f t="shared" si="0"/>
        <v>4214.0538808803049</v>
      </c>
      <c r="F44">
        <f t="shared" si="1"/>
        <v>4214</v>
      </c>
      <c r="G44">
        <f t="shared" si="6"/>
        <v>1.873302563035395E-2</v>
      </c>
      <c r="K44">
        <f t="shared" si="7"/>
        <v>1.873302563035395E-2</v>
      </c>
      <c r="O44">
        <f t="shared" ca="1" si="2"/>
        <v>1.8104488389904565E-2</v>
      </c>
      <c r="Q44" s="1">
        <f t="shared" si="5"/>
        <v>40576.815000000002</v>
      </c>
    </row>
    <row r="45" spans="1:21" x14ac:dyDescent="0.2">
      <c r="A45" s="45" t="s">
        <v>69</v>
      </c>
      <c r="B45" s="45"/>
      <c r="C45" s="32">
        <v>55873.6325</v>
      </c>
      <c r="D45" s="32">
        <v>5.0000000000000001E-4</v>
      </c>
      <c r="E45">
        <f t="shared" si="0"/>
        <v>5014.5648181399856</v>
      </c>
      <c r="F45">
        <f t="shared" si="1"/>
        <v>5014.5</v>
      </c>
      <c r="G45">
        <f t="shared" si="6"/>
        <v>2.2535635471285786E-2</v>
      </c>
      <c r="K45">
        <f t="shared" si="7"/>
        <v>2.2535635471285786E-2</v>
      </c>
      <c r="O45">
        <f t="shared" ca="1" si="2"/>
        <v>2.070441654076588E-2</v>
      </c>
      <c r="Q45" s="1">
        <f t="shared" si="5"/>
        <v>40855.1325</v>
      </c>
    </row>
    <row r="46" spans="1:21" x14ac:dyDescent="0.2">
      <c r="A46" s="34" t="s">
        <v>50</v>
      </c>
      <c r="B46" s="35" t="s">
        <v>42</v>
      </c>
      <c r="C46" s="34">
        <v>55888.930200000003</v>
      </c>
      <c r="D46" s="34">
        <v>5.9999999999999995E-4</v>
      </c>
      <c r="E46">
        <f t="shared" si="0"/>
        <v>5058.5648402906572</v>
      </c>
      <c r="F46">
        <f t="shared" si="1"/>
        <v>5058.5</v>
      </c>
      <c r="G46">
        <f t="shared" si="6"/>
        <v>2.2543336708622519E-2</v>
      </c>
      <c r="K46">
        <f t="shared" si="7"/>
        <v>2.2543336708622519E-2</v>
      </c>
      <c r="O46">
        <f t="shared" ca="1" si="2"/>
        <v>2.084732327235601E-2</v>
      </c>
      <c r="Q46" s="1">
        <f t="shared" si="5"/>
        <v>40870.430200000003</v>
      </c>
    </row>
    <row r="47" spans="1:21" x14ac:dyDescent="0.2">
      <c r="A47" s="46" t="s">
        <v>50</v>
      </c>
      <c r="B47" s="47" t="s">
        <v>42</v>
      </c>
      <c r="C47" s="46">
        <v>55888.930200000003</v>
      </c>
      <c r="D47" s="46">
        <v>5.9999999999999995E-4</v>
      </c>
      <c r="E47">
        <f t="shared" si="0"/>
        <v>5058.5648402906572</v>
      </c>
      <c r="F47">
        <f t="shared" si="1"/>
        <v>5058.5</v>
      </c>
      <c r="G47">
        <f t="shared" si="6"/>
        <v>2.2543336708622519E-2</v>
      </c>
      <c r="K47">
        <f t="shared" si="7"/>
        <v>2.2543336708622519E-2</v>
      </c>
      <c r="O47">
        <f t="shared" ca="1" si="2"/>
        <v>2.084732327235601E-2</v>
      </c>
      <c r="Q47" s="1">
        <f t="shared" si="5"/>
        <v>40870.430200000003</v>
      </c>
    </row>
    <row r="48" spans="1:21" x14ac:dyDescent="0.2">
      <c r="A48" s="45" t="s">
        <v>70</v>
      </c>
      <c r="B48" s="45"/>
      <c r="C48" s="32">
        <v>55901.448299999996</v>
      </c>
      <c r="D48" s="32">
        <v>8.0000000000000004E-4</v>
      </c>
      <c r="E48">
        <f t="shared" si="0"/>
        <v>5094.5700356653851</v>
      </c>
      <c r="F48">
        <f t="shared" si="1"/>
        <v>5094.5</v>
      </c>
      <c r="G48">
        <f t="shared" si="6"/>
        <v>2.4349637707928196E-2</v>
      </c>
      <c r="K48">
        <f t="shared" si="7"/>
        <v>2.4349637707928196E-2</v>
      </c>
      <c r="O48">
        <f t="shared" ca="1" si="2"/>
        <v>2.0964246961838844E-2</v>
      </c>
      <c r="Q48" s="1">
        <f t="shared" si="5"/>
        <v>40882.948299999996</v>
      </c>
    </row>
    <row r="49" spans="1:17" x14ac:dyDescent="0.2">
      <c r="A49" s="45" t="s">
        <v>70</v>
      </c>
      <c r="B49" s="45"/>
      <c r="C49" s="32">
        <v>55901.619400000003</v>
      </c>
      <c r="D49" s="32">
        <v>6.9999999999999999E-4</v>
      </c>
      <c r="E49">
        <f t="shared" si="0"/>
        <v>5095.0621621805003</v>
      </c>
      <c r="F49">
        <f t="shared" si="1"/>
        <v>5095</v>
      </c>
      <c r="G49">
        <f t="shared" si="6"/>
        <v>2.1612225224089343E-2</v>
      </c>
      <c r="K49">
        <f t="shared" si="7"/>
        <v>2.1612225224089343E-2</v>
      </c>
      <c r="O49">
        <f t="shared" ca="1" si="2"/>
        <v>2.0965870901970548E-2</v>
      </c>
      <c r="Q49" s="1">
        <f t="shared" si="5"/>
        <v>40883.119400000003</v>
      </c>
    </row>
    <row r="50" spans="1:17" x14ac:dyDescent="0.2">
      <c r="A50" s="45" t="s">
        <v>71</v>
      </c>
      <c r="B50" s="45"/>
      <c r="C50" s="32">
        <v>56313.616699999999</v>
      </c>
      <c r="D50" s="32">
        <v>4.0000000000000002E-4</v>
      </c>
      <c r="E50">
        <f t="shared" si="0"/>
        <v>6280.0697336463882</v>
      </c>
      <c r="F50">
        <f t="shared" si="1"/>
        <v>6280</v>
      </c>
      <c r="G50">
        <f t="shared" si="6"/>
        <v>2.4244633299531415E-2</v>
      </c>
      <c r="K50">
        <f t="shared" si="7"/>
        <v>2.4244633299531415E-2</v>
      </c>
      <c r="O50">
        <f t="shared" ca="1" si="2"/>
        <v>2.4814609014113781E-2</v>
      </c>
      <c r="Q50" s="1">
        <f t="shared" si="5"/>
        <v>41295.116699999999</v>
      </c>
    </row>
    <row r="51" spans="1:17" x14ac:dyDescent="0.2">
      <c r="A51" s="45" t="s">
        <v>73</v>
      </c>
      <c r="B51" s="45"/>
      <c r="C51" s="32">
        <v>57028.963799999998</v>
      </c>
      <c r="D51" s="32">
        <v>2.0000000000000001E-4</v>
      </c>
      <c r="E51">
        <f t="shared" si="0"/>
        <v>8337.5874157432718</v>
      </c>
      <c r="F51">
        <f t="shared" si="1"/>
        <v>8337.5</v>
      </c>
      <c r="G51">
        <f t="shared" si="6"/>
        <v>3.0392253240279388E-2</v>
      </c>
      <c r="K51">
        <f t="shared" si="7"/>
        <v>3.0392253240279388E-2</v>
      </c>
      <c r="O51">
        <f t="shared" ca="1" si="2"/>
        <v>3.1497122656083988E-2</v>
      </c>
      <c r="Q51" s="1">
        <f t="shared" si="5"/>
        <v>42010.463799999998</v>
      </c>
    </row>
    <row r="52" spans="1:17" x14ac:dyDescent="0.2">
      <c r="A52" s="45" t="s">
        <v>73</v>
      </c>
      <c r="B52" s="45"/>
      <c r="C52" s="32">
        <v>57029.138700000003</v>
      </c>
      <c r="D52" s="32">
        <v>2.0000000000000001E-4</v>
      </c>
      <c r="E52">
        <f t="shared" si="0"/>
        <v>8338.0904720114941</v>
      </c>
      <c r="F52">
        <f t="shared" si="1"/>
        <v>8338</v>
      </c>
      <c r="G52">
        <f t="shared" si="6"/>
        <v>3.1454840762307867E-2</v>
      </c>
      <c r="K52">
        <f t="shared" si="7"/>
        <v>3.1454840762307867E-2</v>
      </c>
      <c r="O52">
        <f t="shared" ca="1" si="2"/>
        <v>3.1498746596215696E-2</v>
      </c>
      <c r="Q52" s="1">
        <f t="shared" si="5"/>
        <v>42010.638700000003</v>
      </c>
    </row>
    <row r="53" spans="1:17" x14ac:dyDescent="0.2">
      <c r="A53" s="48" t="s">
        <v>58</v>
      </c>
      <c r="B53" s="49" t="s">
        <v>44</v>
      </c>
      <c r="C53" s="48">
        <v>57388.287400000001</v>
      </c>
      <c r="D53" s="48" t="s">
        <v>57</v>
      </c>
      <c r="E53">
        <f t="shared" si="0"/>
        <v>9371.0922144552751</v>
      </c>
      <c r="F53">
        <f t="shared" si="1"/>
        <v>9371</v>
      </c>
      <c r="G53">
        <f t="shared" si="6"/>
        <v>3.2060644596640486E-2</v>
      </c>
      <c r="K53">
        <f t="shared" si="7"/>
        <v>3.2060644596640486E-2</v>
      </c>
      <c r="O53">
        <f t="shared" ca="1" si="2"/>
        <v>3.4853806908320302E-2</v>
      </c>
      <c r="Q53" s="1">
        <f t="shared" si="5"/>
        <v>42369.787400000001</v>
      </c>
    </row>
    <row r="54" spans="1:17" x14ac:dyDescent="0.2">
      <c r="A54" s="45" t="s">
        <v>73</v>
      </c>
      <c r="B54" s="45"/>
      <c r="C54" s="32">
        <v>57406.020499999999</v>
      </c>
      <c r="D54" s="32">
        <v>2.0000000000000001E-4</v>
      </c>
      <c r="E54">
        <f t="shared" si="0"/>
        <v>9422.0970578500237</v>
      </c>
      <c r="F54">
        <f t="shared" si="1"/>
        <v>9422</v>
      </c>
      <c r="G54">
        <f t="shared" si="6"/>
        <v>3.3744571017450653E-2</v>
      </c>
      <c r="K54">
        <f t="shared" si="7"/>
        <v>3.3744571017450653E-2</v>
      </c>
      <c r="O54">
        <f t="shared" ca="1" si="2"/>
        <v>3.5019448801754317E-2</v>
      </c>
      <c r="Q54" s="1">
        <f t="shared" si="5"/>
        <v>42387.520499999999</v>
      </c>
    </row>
    <row r="55" spans="1:17" x14ac:dyDescent="0.2">
      <c r="A55" s="45" t="s">
        <v>73</v>
      </c>
      <c r="B55" s="45"/>
      <c r="C55" s="32">
        <v>57406.194499999998</v>
      </c>
      <c r="D55" s="32">
        <v>2.0000000000000001E-4</v>
      </c>
      <c r="E55">
        <f t="shared" si="0"/>
        <v>9422.5975254924906</v>
      </c>
      <c r="F55">
        <f t="shared" si="1"/>
        <v>9422.5</v>
      </c>
      <c r="G55">
        <f t="shared" si="6"/>
        <v>3.3907158533111215E-2</v>
      </c>
      <c r="K55">
        <f t="shared" si="7"/>
        <v>3.3907158533111215E-2</v>
      </c>
      <c r="O55">
        <f t="shared" ca="1" si="2"/>
        <v>3.5021072741886025E-2</v>
      </c>
      <c r="Q55" s="1">
        <f t="shared" si="5"/>
        <v>42387.694499999998</v>
      </c>
    </row>
    <row r="56" spans="1:17" x14ac:dyDescent="0.2">
      <c r="A56" s="42" t="s">
        <v>60</v>
      </c>
      <c r="B56" s="42"/>
      <c r="C56" s="43">
        <v>53705.683900000004</v>
      </c>
      <c r="D56" s="43" t="s">
        <v>59</v>
      </c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8"/>
  <sheetViews>
    <sheetView workbookViewId="0">
      <selection activeCell="A30" sqref="A30:D38"/>
    </sheetView>
  </sheetViews>
  <sheetFormatPr defaultRowHeight="12.75" x14ac:dyDescent="0.2"/>
  <cols>
    <col min="1" max="1" width="16.42578125" customWidth="1"/>
  </cols>
  <sheetData>
    <row r="7" spans="1:6" x14ac:dyDescent="0.2">
      <c r="A7" t="s">
        <v>63</v>
      </c>
      <c r="C7">
        <v>53683.430699999997</v>
      </c>
      <c r="D7">
        <v>1.4E-3</v>
      </c>
      <c r="F7">
        <f>VLOOKUP(C7,'Active 2'!C$21:E$46,3,FALSE)</f>
        <v>-1285.0049024340299</v>
      </c>
    </row>
    <row r="8" spans="1:6" x14ac:dyDescent="0.2">
      <c r="A8" t="s">
        <v>63</v>
      </c>
      <c r="C8">
        <v>53683.608</v>
      </c>
      <c r="D8">
        <v>1E-3</v>
      </c>
      <c r="F8">
        <f>VLOOKUP(C8,'Active 2'!C$21:E$46,3,FALSE)</f>
        <v>-1284.494943163849</v>
      </c>
    </row>
    <row r="9" spans="1:6" x14ac:dyDescent="0.2">
      <c r="A9" t="s">
        <v>63</v>
      </c>
      <c r="C9">
        <v>53686.387799999997</v>
      </c>
      <c r="D9">
        <v>1.1999999999999999E-3</v>
      </c>
      <c r="F9">
        <f>VLOOKUP(C9,'Active 2'!C$21:E$46,3,FALSE)</f>
        <v>-1276.4995411377754</v>
      </c>
    </row>
    <row r="10" spans="1:6" x14ac:dyDescent="0.2">
      <c r="A10" t="s">
        <v>63</v>
      </c>
      <c r="C10">
        <v>53686.559800000003</v>
      </c>
      <c r="D10">
        <v>8.9999999999999998E-4</v>
      </c>
      <c r="F10">
        <f>VLOOKUP(C10,'Active 2'!C$21:E$46,3,FALSE)</f>
        <v>-1276.0048259969258</v>
      </c>
    </row>
    <row r="11" spans="1:6" x14ac:dyDescent="0.2">
      <c r="A11" t="s">
        <v>63</v>
      </c>
      <c r="C11">
        <v>53694.384599999998</v>
      </c>
      <c r="D11">
        <v>2.9999999999999997E-4</v>
      </c>
      <c r="F11">
        <f>VLOOKUP(C11,'Active 2'!C$21:E$46,3,FALSE)</f>
        <v>-1253.4987385900415</v>
      </c>
    </row>
    <row r="12" spans="1:6" x14ac:dyDescent="0.2">
      <c r="A12" t="s">
        <v>63</v>
      </c>
      <c r="C12">
        <v>53694.559099999999</v>
      </c>
      <c r="D12">
        <v>1.2999999999999999E-3</v>
      </c>
      <c r="F12">
        <f>VLOOKUP(C12,'Active 2'!C$21:E$46,3,FALSE)</f>
        <v>-1252.9968328221591</v>
      </c>
    </row>
    <row r="13" spans="1:6" x14ac:dyDescent="0.2">
      <c r="A13" t="s">
        <v>63</v>
      </c>
      <c r="C13">
        <v>53705.332999999999</v>
      </c>
      <c r="D13">
        <v>3.0000000000000001E-3</v>
      </c>
      <c r="F13">
        <f>VLOOKUP(C13,'Active 2'!C$21:E$46,3,FALSE)</f>
        <v>-1222.0083941255546</v>
      </c>
    </row>
    <row r="14" spans="1:6" x14ac:dyDescent="0.2">
      <c r="A14" t="s">
        <v>63</v>
      </c>
      <c r="C14">
        <v>53705.513099999996</v>
      </c>
      <c r="D14">
        <v>8.0000000000000004E-4</v>
      </c>
      <c r="F14">
        <f>VLOOKUP(C14,'Active 2'!C$21:E$46,3,FALSE)</f>
        <v>-1221.4903813530962</v>
      </c>
    </row>
    <row r="15" spans="1:6" x14ac:dyDescent="0.2">
      <c r="A15" t="s">
        <v>63</v>
      </c>
      <c r="C15">
        <v>53705.685400000002</v>
      </c>
      <c r="D15">
        <v>8.9999999999999998E-4</v>
      </c>
      <c r="F15">
        <f>VLOOKUP(C15,'Active 2'!C$21:E$46,3,FALSE)</f>
        <v>-1220.9948033370017</v>
      </c>
    </row>
    <row r="16" spans="1:6" x14ac:dyDescent="0.2">
      <c r="A16" t="s">
        <v>63</v>
      </c>
      <c r="C16">
        <v>53741.320899999999</v>
      </c>
      <c r="D16">
        <v>4.0000000000000002E-4</v>
      </c>
      <c r="F16">
        <f>VLOOKUP(C16,'Active 2'!C$21:E$46,3,FALSE)</f>
        <v>-1118.498167283879</v>
      </c>
    </row>
    <row r="17" spans="1:6" x14ac:dyDescent="0.2">
      <c r="A17" t="s">
        <v>63</v>
      </c>
      <c r="C17">
        <v>53741.493300000002</v>
      </c>
      <c r="D17">
        <v>5.0000000000000001E-4</v>
      </c>
      <c r="F17">
        <f>VLOOKUP(C17,'Active 2'!C$21:E$46,3,FALSE)</f>
        <v>-1118.0023016427101</v>
      </c>
    </row>
    <row r="18" spans="1:6" x14ac:dyDescent="0.2">
      <c r="A18" t="s">
        <v>63</v>
      </c>
      <c r="C18">
        <v>53760.267999999996</v>
      </c>
      <c r="D18">
        <v>1.5E-3</v>
      </c>
      <c r="F18">
        <f>VLOOKUP(C18,'Active 2'!C$21:E$46,3,FALSE)</f>
        <v>-1064.0015553951148</v>
      </c>
    </row>
    <row r="19" spans="1:6" x14ac:dyDescent="0.2">
      <c r="A19" t="s">
        <v>63</v>
      </c>
      <c r="C19">
        <v>53760.445200000002</v>
      </c>
      <c r="D19">
        <v>8.9999999999999998E-4</v>
      </c>
      <c r="F19">
        <f>VLOOKUP(C19,'Active 2'!C$21:E$46,3,FALSE)</f>
        <v>-1063.4918837500086</v>
      </c>
    </row>
    <row r="20" spans="1:6" x14ac:dyDescent="0.2">
      <c r="A20" t="s">
        <v>63</v>
      </c>
      <c r="C20">
        <v>53768.256000000001</v>
      </c>
      <c r="D20">
        <v>3.0000000000000001E-3</v>
      </c>
      <c r="F20">
        <f>VLOOKUP(C20,'Active 2'!C$21:E$46,3,FALSE)</f>
        <v>-1041.0260638545749</v>
      </c>
    </row>
    <row r="21" spans="1:6" x14ac:dyDescent="0.2">
      <c r="A21" t="s">
        <v>63</v>
      </c>
      <c r="C21">
        <v>53768.441800000001</v>
      </c>
      <c r="D21">
        <v>6.9999999999999999E-4</v>
      </c>
      <c r="F21">
        <f>VLOOKUP(C21,'Active 2'!C$21:E$46,3,FALSE)</f>
        <v>-1040.4916564524449</v>
      </c>
    </row>
    <row r="22" spans="1:6" x14ac:dyDescent="0.2">
      <c r="A22" t="s">
        <v>64</v>
      </c>
      <c r="C22">
        <v>54130.369700000003</v>
      </c>
      <c r="D22">
        <v>5.0000000000000001E-4</v>
      </c>
      <c r="F22">
        <f>VLOOKUP(C22,'Active 2'!C$21:E$46,3,FALSE)</f>
        <v>0.50376226694090398</v>
      </c>
    </row>
    <row r="23" spans="1:6" x14ac:dyDescent="0.2">
      <c r="A23" t="s">
        <v>65</v>
      </c>
      <c r="C23">
        <v>54849.720500000003</v>
      </c>
      <c r="D23">
        <v>5.0000000000000001E-4</v>
      </c>
      <c r="F23">
        <f>VLOOKUP(C23,'Active 2'!C$21:E$46,3,FALSE)</f>
        <v>2069.5370897670323</v>
      </c>
    </row>
    <row r="24" spans="1:6" x14ac:dyDescent="0.2">
      <c r="A24" t="s">
        <v>66</v>
      </c>
      <c r="C24">
        <v>55153.9349</v>
      </c>
      <c r="D24">
        <v>4.0000000000000002E-4</v>
      </c>
      <c r="F24">
        <f>VLOOKUP(C24,'Active 2'!C$21:E$46,3,FALSE)</f>
        <v>2944.5340068559376</v>
      </c>
    </row>
    <row r="25" spans="1:6" x14ac:dyDescent="0.2">
      <c r="A25" t="s">
        <v>61</v>
      </c>
      <c r="C25">
        <v>55517.958500000001</v>
      </c>
      <c r="D25">
        <v>4.0000000000000002E-4</v>
      </c>
      <c r="F25">
        <f>VLOOKUP(C25,'Active 2'!C$21:E$46,3,FALSE)</f>
        <v>3991.5571844162646</v>
      </c>
    </row>
    <row r="26" spans="1:6" x14ac:dyDescent="0.2">
      <c r="A26" t="s">
        <v>67</v>
      </c>
      <c r="C26">
        <v>55528.560599999997</v>
      </c>
      <c r="D26">
        <v>2.9999999999999997E-4</v>
      </c>
      <c r="F26">
        <f>VLOOKUP(C26,'Active 2'!C$21:E$46,3,FALSE)</f>
        <v>4022.0514832221897</v>
      </c>
    </row>
    <row r="27" spans="1:6" x14ac:dyDescent="0.2">
      <c r="A27" t="s">
        <v>68</v>
      </c>
      <c r="C27">
        <v>55595.315000000002</v>
      </c>
      <c r="D27">
        <v>2.0000000000000001E-4</v>
      </c>
      <c r="F27">
        <f>VLOOKUP(C27,'Active 2'!C$21:E$46,3,FALSE)</f>
        <v>4214.0538808803049</v>
      </c>
    </row>
    <row r="28" spans="1:6" x14ac:dyDescent="0.2">
      <c r="A28" t="s">
        <v>62</v>
      </c>
      <c r="C28">
        <v>55888.930200000003</v>
      </c>
      <c r="D28">
        <v>5.9999999999999995E-4</v>
      </c>
      <c r="F28">
        <f>VLOOKUP(C28,'Active 2'!C$21:E$46,3,FALSE)</f>
        <v>5058.5648402906572</v>
      </c>
    </row>
    <row r="29" spans="1:6" x14ac:dyDescent="0.2">
      <c r="A29" t="s">
        <v>72</v>
      </c>
      <c r="C29">
        <v>57388.287400000001</v>
      </c>
      <c r="D29" t="s">
        <v>59</v>
      </c>
      <c r="F29" t="e">
        <f>VLOOKUP(C29,'Active 2'!C$21:E$46,3,FALSE)</f>
        <v>#N/A</v>
      </c>
    </row>
    <row r="30" spans="1:6" x14ac:dyDescent="0.2">
      <c r="A30" t="s">
        <v>60</v>
      </c>
      <c r="C30">
        <v>53705.683900000004</v>
      </c>
      <c r="D30" t="s">
        <v>59</v>
      </c>
      <c r="F30">
        <f>VLOOKUP(C30,'Active 2'!C$21:E$46,3,FALSE)</f>
        <v>-1220.9991177132256</v>
      </c>
    </row>
    <row r="31" spans="1:6" x14ac:dyDescent="0.2">
      <c r="A31" t="s">
        <v>69</v>
      </c>
      <c r="C31">
        <v>55873.6325</v>
      </c>
      <c r="D31">
        <v>5.0000000000000001E-4</v>
      </c>
      <c r="F31">
        <f>VLOOKUP(C31,'Active 2'!C$21:E$46,3,FALSE)</f>
        <v>5014.5648181399856</v>
      </c>
    </row>
    <row r="32" spans="1:6" x14ac:dyDescent="0.2">
      <c r="A32" t="s">
        <v>70</v>
      </c>
      <c r="C32">
        <v>55901.448299999996</v>
      </c>
      <c r="D32">
        <v>8.0000000000000004E-4</v>
      </c>
      <c r="F32" t="e">
        <f>VLOOKUP(C32,'Active 2'!C$21:E$46,3,FALSE)</f>
        <v>#N/A</v>
      </c>
    </row>
    <row r="33" spans="1:6" x14ac:dyDescent="0.2">
      <c r="A33" t="s">
        <v>70</v>
      </c>
      <c r="C33">
        <v>55901.619400000003</v>
      </c>
      <c r="D33">
        <v>6.9999999999999999E-4</v>
      </c>
      <c r="F33" t="e">
        <f>VLOOKUP(C33,'Active 2'!C$21:E$46,3,FALSE)</f>
        <v>#N/A</v>
      </c>
    </row>
    <row r="34" spans="1:6" x14ac:dyDescent="0.2">
      <c r="A34" t="s">
        <v>71</v>
      </c>
      <c r="C34">
        <v>56313.616699999999</v>
      </c>
      <c r="D34">
        <v>4.0000000000000002E-4</v>
      </c>
      <c r="F34" t="e">
        <f>VLOOKUP(C34,'Active 2'!C$21:E$46,3,FALSE)</f>
        <v>#N/A</v>
      </c>
    </row>
    <row r="35" spans="1:6" x14ac:dyDescent="0.2">
      <c r="A35" t="s">
        <v>73</v>
      </c>
      <c r="C35">
        <v>57028.963799999998</v>
      </c>
      <c r="D35">
        <v>2.0000000000000001E-4</v>
      </c>
      <c r="F35" t="e">
        <f>VLOOKUP(C35,'Active 2'!C$21:E$46,3,FALSE)</f>
        <v>#N/A</v>
      </c>
    </row>
    <row r="36" spans="1:6" x14ac:dyDescent="0.2">
      <c r="A36" t="s">
        <v>73</v>
      </c>
      <c r="C36">
        <v>57029.138700000003</v>
      </c>
      <c r="D36">
        <v>2.0000000000000001E-4</v>
      </c>
      <c r="F36" t="e">
        <f>VLOOKUP(C36,'Active 2'!C$21:E$46,3,FALSE)</f>
        <v>#N/A</v>
      </c>
    </row>
    <row r="37" spans="1:6" x14ac:dyDescent="0.2">
      <c r="A37" t="s">
        <v>73</v>
      </c>
      <c r="C37">
        <v>57406.020499999999</v>
      </c>
      <c r="D37">
        <v>2.0000000000000001E-4</v>
      </c>
      <c r="F37" t="e">
        <f>VLOOKUP(C37,'Active 2'!C$21:E$46,3,FALSE)</f>
        <v>#N/A</v>
      </c>
    </row>
    <row r="38" spans="1:6" x14ac:dyDescent="0.2">
      <c r="A38" t="s">
        <v>73</v>
      </c>
      <c r="C38">
        <v>57406.194499999998</v>
      </c>
      <c r="D38">
        <v>2.0000000000000001E-4</v>
      </c>
      <c r="F38" t="e">
        <f>VLOOKUP(C38,'Active 2'!C$21:E$46,3,FALSE)</f>
        <v>#N/A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2024-03-09T00:37:11Z</dcterms:modified>
</cp:coreProperties>
</file>