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157D92-D43D-44B5-BCF6-CFF516FE4A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U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34" i="1"/>
  <c r="F34" i="1"/>
  <c r="G34" i="1"/>
  <c r="H34" i="1"/>
  <c r="E41" i="1"/>
  <c r="F41" i="1"/>
  <c r="G41" i="1"/>
  <c r="J41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G12" i="2"/>
  <c r="C12" i="2"/>
  <c r="E1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11" i="2"/>
  <c r="C11" i="2"/>
  <c r="E11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" i="2"/>
  <c r="B11" i="2"/>
  <c r="D11" i="2"/>
  <c r="A11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Q41" i="1"/>
  <c r="F16" i="1"/>
  <c r="F17" i="1" s="1"/>
  <c r="C17" i="1"/>
  <c r="Q34" i="1"/>
  <c r="C11" i="1"/>
  <c r="C12" i="1"/>
  <c r="C16" i="1" l="1"/>
  <c r="D18" i="1" s="1"/>
  <c r="O30" i="1"/>
  <c r="O29" i="1"/>
  <c r="O26" i="1"/>
  <c r="O34" i="1"/>
  <c r="O38" i="1"/>
  <c r="C15" i="1"/>
  <c r="O35" i="1"/>
  <c r="O32" i="1"/>
  <c r="O22" i="1"/>
  <c r="O41" i="1"/>
  <c r="O31" i="1"/>
  <c r="O25" i="1"/>
  <c r="O28" i="1"/>
  <c r="O24" i="1"/>
  <c r="O21" i="1"/>
  <c r="O27" i="1"/>
  <c r="O33" i="1"/>
  <c r="O36" i="1"/>
  <c r="O37" i="1"/>
  <c r="O40" i="1"/>
  <c r="O23" i="1"/>
  <c r="O39" i="1"/>
  <c r="C18" i="1" l="1"/>
  <c r="F18" i="1"/>
  <c r="F19" i="1" s="1"/>
</calcChain>
</file>

<file path=xl/sharedStrings.xml><?xml version="1.0" encoding="utf-8"?>
<sst xmlns="http://schemas.openxmlformats.org/spreadsheetml/2006/main" count="247" uniqueCount="133">
  <si>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</si>
  <si>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</si>
  <si>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</si>
  <si>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</si>
  <si>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</si>
  <si>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</si>
  <si>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</si>
  <si>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</si>
  <si>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</si>
  <si>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</si>
  <si>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</si>
  <si>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</si>
  <si>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</si>
  <si>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</si>
  <si>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</si>
  <si>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</si>
  <si>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</si>
  <si>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</si>
  <si>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</si>
  <si>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</si>
  <si>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</si>
  <si>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</si>
  <si>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</si>
  <si>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</si>
  <si>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</si>
  <si>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</si>
  <si>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</si>
  <si>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</si>
  <si>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</si>
  <si>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</si>
  <si>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</si>
  <si>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</si>
  <si>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</si>
  <si>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</si>
  <si>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</si>
  <si>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</si>
  <si>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</si>
  <si>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</si>
  <si>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</si>
  <si>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RU Tri</t>
  </si>
  <si>
    <t>RU Tri / GSC 2316-0135</t>
  </si>
  <si>
    <t>G2316-0135</t>
  </si>
  <si>
    <t>EB</t>
  </si>
  <si>
    <t>Malkov</t>
  </si>
  <si>
    <t>IBVS 5918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</si>
  <si>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</si>
  <si>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</si>
  <si>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</si>
  <si>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</si>
  <si>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</si>
  <si>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</si>
  <si>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</si>
  <si>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</si>
  <si>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</si>
  <si>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</si>
  <si>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</si>
  <si>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</si>
  <si>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2426949.549 </t>
  </si>
  <si>
    <t> 30.08.1932 01:10 </t>
  </si>
  <si>
    <t> -0.851 </t>
  </si>
  <si>
    <t>P </t>
  </si>
  <si>
    <t> E.Geyer </t>
  </si>
  <si>
    <t> KVB 16.2 </t>
  </si>
  <si>
    <t>2426985.480 </t>
  </si>
  <si>
    <t> 04.10.1932 23:31 </t>
  </si>
  <si>
    <t> -0.870 </t>
  </si>
  <si>
    <t>2427031.374 </t>
  </si>
  <si>
    <t> 19.11.1932 20:58 </t>
  </si>
  <si>
    <t> -0.731 </t>
  </si>
  <si>
    <t>2427397.380 </t>
  </si>
  <si>
    <t> 20.11.1933 21:07 </t>
  </si>
  <si>
    <t> -0.761 </t>
  </si>
  <si>
    <t>2428211.260 </t>
  </si>
  <si>
    <t> 12.02.1936 18:14 </t>
  </si>
  <si>
    <t> -0.657 </t>
  </si>
  <si>
    <t>2428397.532 </t>
  </si>
  <si>
    <t> 17.08.1936 00:46 </t>
  </si>
  <si>
    <t> -0.672 </t>
  </si>
  <si>
    <t>2428835.403 </t>
  </si>
  <si>
    <t> 28.10.1937 21:40 </t>
  </si>
  <si>
    <t> -0.737 </t>
  </si>
  <si>
    <t>2429309.279 </t>
  </si>
  <si>
    <t> 14.02.1939 18:41 </t>
  </si>
  <si>
    <t> -0.747 </t>
  </si>
  <si>
    <t>2433920.441 </t>
  </si>
  <si>
    <t> 30.09.1951 22:35 </t>
  </si>
  <si>
    <t> -0.987 </t>
  </si>
  <si>
    <t> W.Zessewitsch </t>
  </si>
  <si>
    <t> AC 170.16 </t>
  </si>
  <si>
    <t>2433947.435 </t>
  </si>
  <si>
    <t> 27.10.1951 22:26 </t>
  </si>
  <si>
    <t> -0.138 </t>
  </si>
  <si>
    <t>2433949.462 </t>
  </si>
  <si>
    <t> 29.10.1951 23:05 </t>
  </si>
  <si>
    <t> 0.255 </t>
  </si>
  <si>
    <t>2434277.517 </t>
  </si>
  <si>
    <t> 22.09.1952 00:24 </t>
  </si>
  <si>
    <t> -0.143 </t>
  </si>
  <si>
    <t>2434279.580 </t>
  </si>
  <si>
    <t> 24.09.1952 01:55 </t>
  </si>
  <si>
    <t> 0.286 </t>
  </si>
  <si>
    <t>2435722.36 </t>
  </si>
  <si>
    <t> 05.09.1956 20:38 </t>
  </si>
  <si>
    <t> 0.16 </t>
  </si>
  <si>
    <t>V </t>
  </si>
  <si>
    <t> AC 174.20 </t>
  </si>
  <si>
    <t>2435748.51 </t>
  </si>
  <si>
    <t> 02.10.1956 00:14 </t>
  </si>
  <si>
    <t> 0.17 </t>
  </si>
  <si>
    <t>2435758.32 </t>
  </si>
  <si>
    <t> 11.10.1956 19:40 </t>
  </si>
  <si>
    <t>2435761.61 </t>
  </si>
  <si>
    <t> 15.10.1956 02:38 </t>
  </si>
  <si>
    <t> 0.20 </t>
  </si>
  <si>
    <t>2439033.444 </t>
  </si>
  <si>
    <t> 29.09.1965 22:39 </t>
  </si>
  <si>
    <t> 0.583 </t>
  </si>
  <si>
    <t> K.Häussler </t>
  </si>
  <si>
    <t> HABZ 84 </t>
  </si>
  <si>
    <t>2439056.342 </t>
  </si>
  <si>
    <t> 22.10.1965 20:12 </t>
  </si>
  <si>
    <t> 0.603 </t>
  </si>
  <si>
    <t>2441599.265 </t>
  </si>
  <si>
    <t> 08.10.1972 18:21 </t>
  </si>
  <si>
    <t> 0.882 </t>
  </si>
  <si>
    <t>2454830.4173 </t>
  </si>
  <si>
    <t> 29.12.2008 22:00 </t>
  </si>
  <si>
    <t> -0.8263 </t>
  </si>
  <si>
    <t>C </t>
  </si>
  <si>
    <t>-I</t>
  </si>
  <si>
    <t> P.Frank </t>
  </si>
  <si>
    <t>BAVM 209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</si>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</sst>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NumberFormat="1" applyFont="1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RU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15-468F-8408-8B2719D8EF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4.0399999998044223E-3</c:v>
                </c:pt>
                <c:pt idx="1">
                  <c:v>-1.9120000000839354E-2</c:v>
                </c:pt>
                <c:pt idx="2">
                  <c:v>0.11504000000059023</c:v>
                </c:pt>
                <c:pt idx="3">
                  <c:v>4.2320000000472646E-2</c:v>
                </c:pt>
                <c:pt idx="4">
                  <c:v>5.0879999998869607E-2</c:v>
                </c:pt>
                <c:pt idx="5">
                  <c:v>1.4960000000428408E-2</c:v>
                </c:pt>
                <c:pt idx="6">
                  <c:v>-0.10108000000036554</c:v>
                </c:pt>
                <c:pt idx="7">
                  <c:v>-0.1662800000012794</c:v>
                </c:pt>
                <c:pt idx="9">
                  <c:v>-9.6920000003592577E-2</c:v>
                </c:pt>
                <c:pt idx="10">
                  <c:v>0.29579999999987194</c:v>
                </c:pt>
                <c:pt idx="11">
                  <c:v>-0.13947999999800231</c:v>
                </c:pt>
                <c:pt idx="12">
                  <c:v>0.28923999999824446</c:v>
                </c:pt>
                <c:pt idx="14">
                  <c:v>1.5199999979813583E-3</c:v>
                </c:pt>
                <c:pt idx="15">
                  <c:v>5.8399999979883432E-3</c:v>
                </c:pt>
                <c:pt idx="16">
                  <c:v>2.7280000002065208E-2</c:v>
                </c:pt>
                <c:pt idx="17">
                  <c:v>3.2720000002882443E-2</c:v>
                </c:pt>
                <c:pt idx="18">
                  <c:v>5.0799999997252598E-2</c:v>
                </c:pt>
                <c:pt idx="19">
                  <c:v>3.4119999996619299E-2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15-468F-8408-8B2719D8EF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5.5540000001201406E-2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15-468F-8408-8B2719D8EF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15-468F-8408-8B2719D8EF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15-468F-8408-8B2719D8EF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15-468F-8408-8B2719D8EF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3">
                    <c:v>0</c:v>
                  </c:pt>
                  <c:pt idx="20">
                    <c:v>3.5999999999999999E-3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15-468F-8408-8B2719D8EF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5.2131761545243918E-2</c:v>
                </c:pt>
                <c:pt idx="1">
                  <c:v>5.2112728012711947E-2</c:v>
                </c:pt>
                <c:pt idx="2">
                  <c:v>5.2088503516762169E-2</c:v>
                </c:pt>
                <c:pt idx="3">
                  <c:v>5.1894707549163935E-2</c:v>
                </c:pt>
                <c:pt idx="4">
                  <c:v>5.1463857585485731E-2</c:v>
                </c:pt>
                <c:pt idx="5">
                  <c:v>5.1365229280547348E-2</c:v>
                </c:pt>
                <c:pt idx="6">
                  <c:v>5.1133366247885184E-2</c:v>
                </c:pt>
                <c:pt idx="7">
                  <c:v>5.0882469682691042E-2</c:v>
                </c:pt>
                <c:pt idx="8">
                  <c:v>4.8441851715750849E-2</c:v>
                </c:pt>
                <c:pt idx="9">
                  <c:v>4.8427143986067053E-2</c:v>
                </c:pt>
                <c:pt idx="10">
                  <c:v>4.8426278825497417E-2</c:v>
                </c:pt>
                <c:pt idx="11">
                  <c:v>4.8252381551000791E-2</c:v>
                </c:pt>
                <c:pt idx="12">
                  <c:v>4.8251516390431154E-2</c:v>
                </c:pt>
                <c:pt idx="13">
                  <c:v>4.7487579607443493E-2</c:v>
                </c:pt>
                <c:pt idx="14">
                  <c:v>4.7473737038329335E-2</c:v>
                </c:pt>
                <c:pt idx="15">
                  <c:v>4.7468546074911522E-2</c:v>
                </c:pt>
                <c:pt idx="16">
                  <c:v>4.7466815753772255E-2</c:v>
                </c:pt>
                <c:pt idx="17">
                  <c:v>4.5734764293363081E-2</c:v>
                </c:pt>
                <c:pt idx="18">
                  <c:v>4.5722652045388189E-2</c:v>
                </c:pt>
                <c:pt idx="19">
                  <c:v>4.437646219903621E-2</c:v>
                </c:pt>
                <c:pt idx="20">
                  <c:v>3.737212222727164E-2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15-468F-8408-8B2719D8EFC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-2684</c:v>
                </c:pt>
                <c:pt idx="1">
                  <c:v>-2673</c:v>
                </c:pt>
                <c:pt idx="2">
                  <c:v>-2659</c:v>
                </c:pt>
                <c:pt idx="3">
                  <c:v>-2547</c:v>
                </c:pt>
                <c:pt idx="4">
                  <c:v>-2298</c:v>
                </c:pt>
                <c:pt idx="5">
                  <c:v>-2241</c:v>
                </c:pt>
                <c:pt idx="6">
                  <c:v>-2107</c:v>
                </c:pt>
                <c:pt idx="7">
                  <c:v>-1962</c:v>
                </c:pt>
                <c:pt idx="8">
                  <c:v>-551.5</c:v>
                </c:pt>
                <c:pt idx="9">
                  <c:v>-543</c:v>
                </c:pt>
                <c:pt idx="10">
                  <c:v>-542.5</c:v>
                </c:pt>
                <c:pt idx="11">
                  <c:v>-442</c:v>
                </c:pt>
                <c:pt idx="12">
                  <c:v>-441.5</c:v>
                </c:pt>
                <c:pt idx="13">
                  <c:v>0</c:v>
                </c:pt>
                <c:pt idx="14">
                  <c:v>8</c:v>
                </c:pt>
                <c:pt idx="15">
                  <c:v>11</c:v>
                </c:pt>
                <c:pt idx="16">
                  <c:v>12</c:v>
                </c:pt>
                <c:pt idx="17">
                  <c:v>1013</c:v>
                </c:pt>
                <c:pt idx="18">
                  <c:v>1020</c:v>
                </c:pt>
                <c:pt idx="19">
                  <c:v>1798</c:v>
                </c:pt>
                <c:pt idx="20">
                  <c:v>5846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8">
                  <c:v>0.69183999999950174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15-468F-8408-8B2719D8E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20848"/>
        <c:axId val="1"/>
      </c:scatterChart>
      <c:valAx>
        <c:axId val="6002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2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947368421052632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FC5C1B5-71F7-28CA-E951-331E97F89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4" customFormat="1" ht="20.25" x14ac:dyDescent="0.2">
      <c r="A1" s="51" t="s">
        <v>40</v>
      </c>
      <c r="E1" s="5" t="s">
        <v>39</v>
      </c>
      <c r="F1" s="24" t="s">
        <v>41</v>
      </c>
    </row>
    <row r="2" spans="1:6" s="24" customFormat="1" ht="12.95" customHeight="1" x14ac:dyDescent="0.2">
      <c r="A2" s="24" t="s">
        <v>23</v>
      </c>
      <c r="B2" s="24" t="s">
        <v>42</v>
      </c>
      <c r="C2" s="25"/>
      <c r="D2" s="25"/>
      <c r="E2" s="24">
        <v>0</v>
      </c>
    </row>
    <row r="3" spans="1:6" s="24" customFormat="1" ht="12.95" customHeight="1" thickBot="1" x14ac:dyDescent="0.25"/>
    <row r="4" spans="1:6" s="24" customFormat="1" ht="12.95" customHeight="1" thickTop="1" thickBot="1" x14ac:dyDescent="0.25">
      <c r="A4" s="26" t="s">
        <v>0</v>
      </c>
      <c r="C4" s="27">
        <v>35722.36</v>
      </c>
      <c r="D4" s="28">
        <v>3.2685599999999999</v>
      </c>
    </row>
    <row r="5" spans="1:6" s="24" customFormat="1" ht="12.95" customHeight="1" thickTop="1" x14ac:dyDescent="0.2">
      <c r="A5" s="29" t="s">
        <v>29</v>
      </c>
      <c r="C5" s="30">
        <v>-9.5</v>
      </c>
      <c r="D5" s="24" t="s">
        <v>30</v>
      </c>
    </row>
    <row r="6" spans="1:6" s="24" customFormat="1" ht="12.95" customHeight="1" x14ac:dyDescent="0.2">
      <c r="A6" s="26" t="s">
        <v>1</v>
      </c>
    </row>
    <row r="7" spans="1:6" s="24" customFormat="1" ht="12.95" customHeight="1" x14ac:dyDescent="0.2">
      <c r="A7" s="24" t="s">
        <v>2</v>
      </c>
      <c r="C7" s="24">
        <v>35722.36</v>
      </c>
    </row>
    <row r="8" spans="1:6" s="24" customFormat="1" ht="12.95" customHeight="1" x14ac:dyDescent="0.2">
      <c r="A8" s="24" t="s">
        <v>3</v>
      </c>
      <c r="C8" s="24">
        <v>3.2685599999999999</v>
      </c>
    </row>
    <row r="9" spans="1:6" s="24" customFormat="1" ht="12.95" customHeight="1" x14ac:dyDescent="0.2">
      <c r="A9" s="5" t="s">
        <v>34</v>
      </c>
      <c r="B9" s="31">
        <v>30</v>
      </c>
      <c r="C9" s="32" t="str">
        <f>"F"&amp;B9</f>
        <v>F30</v>
      </c>
      <c r="D9" s="33" t="str">
        <f>"G"&amp;B9</f>
        <v>G30</v>
      </c>
    </row>
    <row r="10" spans="1:6" s="24" customFormat="1" ht="12.95" customHeight="1" thickBot="1" x14ac:dyDescent="0.25">
      <c r="C10" s="34" t="s">
        <v>19</v>
      </c>
      <c r="D10" s="34" t="s">
        <v>20</v>
      </c>
    </row>
    <row r="11" spans="1:6" s="24" customFormat="1" ht="12.95" customHeight="1" x14ac:dyDescent="0.2">
      <c r="A11" s="24" t="s">
        <v>15</v>
      </c>
      <c r="C11" s="33">
        <f ca="1">INTERCEPT(INDIRECT($D$9):G992,INDIRECT($C$9):F992)</f>
        <v>4.7487579607443493E-2</v>
      </c>
      <c r="D11" s="25"/>
    </row>
    <row r="12" spans="1:6" s="24" customFormat="1" ht="12.95" customHeight="1" x14ac:dyDescent="0.2">
      <c r="A12" s="24" t="s">
        <v>16</v>
      </c>
      <c r="C12" s="33">
        <f ca="1">SLOPE(INDIRECT($D$9):G992,INDIRECT($C$9):F992)</f>
        <v>-1.7303211392699038E-6</v>
      </c>
      <c r="D12" s="25"/>
    </row>
    <row r="13" spans="1:6" s="24" customFormat="1" ht="12.95" customHeight="1" x14ac:dyDescent="0.2">
      <c r="A13" s="24" t="s">
        <v>18</v>
      </c>
      <c r="C13" s="25" t="s">
        <v>13</v>
      </c>
    </row>
    <row r="14" spans="1:6" s="24" customFormat="1" ht="12.95" customHeight="1" x14ac:dyDescent="0.2"/>
    <row r="15" spans="1:6" s="24" customFormat="1" ht="12.95" customHeight="1" x14ac:dyDescent="0.2">
      <c r="A15" s="35" t="s">
        <v>17</v>
      </c>
      <c r="C15" s="36">
        <f ca="1">(C7+C11)+(C8+C12)*INT(MAX(F21:F3533))</f>
        <v>54830.399132122227</v>
      </c>
      <c r="E15" s="37" t="s">
        <v>37</v>
      </c>
      <c r="F15" s="30">
        <v>1</v>
      </c>
    </row>
    <row r="16" spans="1:6" s="24" customFormat="1" ht="12.95" customHeight="1" x14ac:dyDescent="0.2">
      <c r="A16" s="26" t="s">
        <v>4</v>
      </c>
      <c r="C16" s="38">
        <f ca="1">+C8+C12</f>
        <v>3.2685582696788607</v>
      </c>
      <c r="E16" s="37" t="s">
        <v>31</v>
      </c>
      <c r="F16" s="39">
        <f ca="1">NOW()+15018.5+$C$5/24</f>
        <v>60378.662901157404</v>
      </c>
    </row>
    <row r="17" spans="1:21" s="24" customFormat="1" ht="12.95" customHeight="1" thickBot="1" x14ac:dyDescent="0.25">
      <c r="A17" s="37" t="s">
        <v>28</v>
      </c>
      <c r="C17" s="24">
        <f>COUNT(C21:C2191)</f>
        <v>21</v>
      </c>
      <c r="E17" s="37" t="s">
        <v>38</v>
      </c>
      <c r="F17" s="39">
        <f ca="1">ROUND(2*(F16-$C$7)/$C$8,0)/2+F15</f>
        <v>7544.5</v>
      </c>
    </row>
    <row r="18" spans="1:21" s="24" customFormat="1" ht="12.95" customHeight="1" thickTop="1" thickBot="1" x14ac:dyDescent="0.25">
      <c r="A18" s="26" t="s">
        <v>5</v>
      </c>
      <c r="C18" s="40">
        <f ca="1">+C15</f>
        <v>54830.399132122227</v>
      </c>
      <c r="D18" s="41">
        <f ca="1">+C16</f>
        <v>3.2685582696788607</v>
      </c>
      <c r="E18" s="37" t="s">
        <v>32</v>
      </c>
      <c r="F18" s="33">
        <f ca="1">ROUND(2*(F16-$C$15)/$C$16,0)/2+F15</f>
        <v>1698.5</v>
      </c>
    </row>
    <row r="19" spans="1:21" s="24" customFormat="1" ht="12.95" customHeight="1" thickTop="1" x14ac:dyDescent="0.2">
      <c r="E19" s="37" t="s">
        <v>33</v>
      </c>
      <c r="F19" s="42">
        <f ca="1">+$C$15+$C$16*F18-15018.5-$C$5/24</f>
        <v>45363.941186505108</v>
      </c>
    </row>
    <row r="20" spans="1:21" s="24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43" t="s">
        <v>35</v>
      </c>
      <c r="I20" s="43" t="s">
        <v>56</v>
      </c>
      <c r="J20" s="43" t="s">
        <v>48</v>
      </c>
      <c r="K20" s="43" t="s">
        <v>24</v>
      </c>
      <c r="L20" s="43" t="s">
        <v>25</v>
      </c>
      <c r="M20" s="43" t="s">
        <v>26</v>
      </c>
      <c r="N20" s="43" t="s">
        <v>27</v>
      </c>
      <c r="O20" s="43" t="s">
        <v>22</v>
      </c>
      <c r="P20" s="44" t="s">
        <v>21</v>
      </c>
      <c r="Q20" s="34" t="s">
        <v>14</v>
      </c>
      <c r="U20" s="45" t="s">
        <v>36</v>
      </c>
    </row>
    <row r="21" spans="1:21" s="24" customFormat="1" ht="12.95" customHeight="1" x14ac:dyDescent="0.2">
      <c r="A21" s="46" t="s">
        <v>62</v>
      </c>
      <c r="B21" s="47" t="s">
        <v>45</v>
      </c>
      <c r="C21" s="48">
        <v>26949.548999999999</v>
      </c>
      <c r="D21" s="49"/>
      <c r="E21" s="24">
        <f t="shared" ref="E21:E41" si="0">+(C21-C$7)/C$8</f>
        <v>-2683.9987639816927</v>
      </c>
      <c r="F21" s="24">
        <f t="shared" ref="F21:F41" si="1">ROUND(2*E21,0)/2</f>
        <v>-2684</v>
      </c>
      <c r="G21" s="24">
        <f t="shared" ref="G21:G28" si="2">+C21-(C$7+F21*C$8)</f>
        <v>4.0399999998044223E-3</v>
      </c>
      <c r="I21" s="24">
        <f>+G21</f>
        <v>4.0399999998044223E-3</v>
      </c>
      <c r="O21" s="24">
        <f t="shared" ref="O21:O41" ca="1" si="3">+C$11+C$12*$F21</f>
        <v>5.2131761545243918E-2</v>
      </c>
      <c r="Q21" s="50">
        <f t="shared" ref="Q21:Q41" si="4">+C21-15018.5</f>
        <v>11931.048999999999</v>
      </c>
    </row>
    <row r="22" spans="1:21" s="24" customFormat="1" ht="12.95" customHeight="1" x14ac:dyDescent="0.2">
      <c r="A22" s="46" t="s">
        <v>62</v>
      </c>
      <c r="B22" s="47" t="s">
        <v>45</v>
      </c>
      <c r="C22" s="48">
        <v>26985.48</v>
      </c>
      <c r="D22" s="49"/>
      <c r="E22" s="24">
        <f t="shared" si="0"/>
        <v>-2673.0058496708034</v>
      </c>
      <c r="F22" s="24">
        <f t="shared" si="1"/>
        <v>-2673</v>
      </c>
      <c r="G22" s="24">
        <f t="shared" si="2"/>
        <v>-1.9120000000839354E-2</v>
      </c>
      <c r="I22" s="24">
        <f>+G22</f>
        <v>-1.9120000000839354E-2</v>
      </c>
      <c r="O22" s="24">
        <f t="shared" ca="1" si="3"/>
        <v>5.2112728012711947E-2</v>
      </c>
      <c r="Q22" s="50">
        <f t="shared" si="4"/>
        <v>11966.98</v>
      </c>
    </row>
    <row r="23" spans="1:21" s="24" customFormat="1" ht="12.95" customHeight="1" x14ac:dyDescent="0.2">
      <c r="A23" s="46" t="s">
        <v>62</v>
      </c>
      <c r="B23" s="47" t="s">
        <v>45</v>
      </c>
      <c r="C23" s="48">
        <v>27031.374</v>
      </c>
      <c r="D23" s="49"/>
      <c r="E23" s="24">
        <f t="shared" si="0"/>
        <v>-2658.964804072742</v>
      </c>
      <c r="F23" s="24">
        <f t="shared" si="1"/>
        <v>-2659</v>
      </c>
      <c r="G23" s="24">
        <f t="shared" si="2"/>
        <v>0.11504000000059023</v>
      </c>
      <c r="I23" s="24">
        <f>+G23</f>
        <v>0.11504000000059023</v>
      </c>
      <c r="O23" s="24">
        <f t="shared" ca="1" si="3"/>
        <v>5.2088503516762169E-2</v>
      </c>
      <c r="Q23" s="50">
        <f t="shared" si="4"/>
        <v>12012.874</v>
      </c>
    </row>
    <row r="24" spans="1:21" s="24" customFormat="1" ht="12.95" customHeight="1" x14ac:dyDescent="0.2">
      <c r="A24" s="46" t="s">
        <v>62</v>
      </c>
      <c r="B24" s="47" t="s">
        <v>45</v>
      </c>
      <c r="C24" s="48">
        <v>27397.38</v>
      </c>
      <c r="D24" s="49"/>
      <c r="E24" s="24">
        <f t="shared" si="0"/>
        <v>-2546.9870524022813</v>
      </c>
      <c r="F24" s="24">
        <f t="shared" si="1"/>
        <v>-2547</v>
      </c>
      <c r="G24" s="24">
        <f t="shared" si="2"/>
        <v>4.2320000000472646E-2</v>
      </c>
      <c r="I24" s="24">
        <f>+G24</f>
        <v>4.2320000000472646E-2</v>
      </c>
      <c r="O24" s="24">
        <f t="shared" ca="1" si="3"/>
        <v>5.1894707549163935E-2</v>
      </c>
      <c r="Q24" s="50">
        <f t="shared" si="4"/>
        <v>12378.880000000001</v>
      </c>
    </row>
    <row r="25" spans="1:21" s="24" customFormat="1" ht="12.95" customHeight="1" x14ac:dyDescent="0.2">
      <c r="A25" s="46" t="s">
        <v>62</v>
      </c>
      <c r="B25" s="47" t="s">
        <v>45</v>
      </c>
      <c r="C25" s="48">
        <v>28211.26</v>
      </c>
      <c r="D25" s="49"/>
      <c r="E25" s="24">
        <f t="shared" si="0"/>
        <v>-2297.984433512006</v>
      </c>
      <c r="F25" s="24">
        <f t="shared" si="1"/>
        <v>-2298</v>
      </c>
      <c r="G25" s="24">
        <f t="shared" si="2"/>
        <v>5.0879999998869607E-2</v>
      </c>
      <c r="I25" s="24">
        <f>+G25</f>
        <v>5.0879999998869607E-2</v>
      </c>
      <c r="O25" s="24">
        <f t="shared" ca="1" si="3"/>
        <v>5.1463857585485731E-2</v>
      </c>
      <c r="Q25" s="50">
        <f t="shared" si="4"/>
        <v>13192.759999999998</v>
      </c>
    </row>
    <row r="26" spans="1:21" s="24" customFormat="1" ht="12.95" customHeight="1" x14ac:dyDescent="0.2">
      <c r="A26" s="46" t="s">
        <v>62</v>
      </c>
      <c r="B26" s="47" t="s">
        <v>45</v>
      </c>
      <c r="C26" s="48">
        <v>28397.531999999999</v>
      </c>
      <c r="D26" s="49"/>
      <c r="E26" s="24">
        <f t="shared" si="0"/>
        <v>-2240.9954230609201</v>
      </c>
      <c r="F26" s="24">
        <f t="shared" si="1"/>
        <v>-2241</v>
      </c>
      <c r="G26" s="24">
        <f t="shared" si="2"/>
        <v>1.4960000000428408E-2</v>
      </c>
      <c r="I26" s="24">
        <f>+G26</f>
        <v>1.4960000000428408E-2</v>
      </c>
      <c r="O26" s="24">
        <f t="shared" ca="1" si="3"/>
        <v>5.1365229280547348E-2</v>
      </c>
      <c r="Q26" s="50">
        <f t="shared" si="4"/>
        <v>13379.031999999999</v>
      </c>
    </row>
    <row r="27" spans="1:21" s="24" customFormat="1" ht="12.95" customHeight="1" x14ac:dyDescent="0.2">
      <c r="A27" s="46" t="s">
        <v>62</v>
      </c>
      <c r="B27" s="47" t="s">
        <v>45</v>
      </c>
      <c r="C27" s="48">
        <v>28835.402999999998</v>
      </c>
      <c r="D27" s="49"/>
      <c r="E27" s="24">
        <f t="shared" si="0"/>
        <v>-2107.0309249333045</v>
      </c>
      <c r="F27" s="24">
        <f t="shared" si="1"/>
        <v>-2107</v>
      </c>
      <c r="G27" s="24">
        <f t="shared" si="2"/>
        <v>-0.10108000000036554</v>
      </c>
      <c r="I27" s="24">
        <f>+G27</f>
        <v>-0.10108000000036554</v>
      </c>
      <c r="O27" s="24">
        <f t="shared" ca="1" si="3"/>
        <v>5.1133366247885184E-2</v>
      </c>
      <c r="Q27" s="50">
        <f t="shared" si="4"/>
        <v>13816.902999999998</v>
      </c>
    </row>
    <row r="28" spans="1:21" s="24" customFormat="1" ht="12.95" customHeight="1" x14ac:dyDescent="0.2">
      <c r="A28" s="46" t="s">
        <v>62</v>
      </c>
      <c r="B28" s="47" t="s">
        <v>45</v>
      </c>
      <c r="C28" s="48">
        <v>29309.278999999999</v>
      </c>
      <c r="D28" s="49"/>
      <c r="E28" s="24">
        <f t="shared" si="0"/>
        <v>-1962.0508725554992</v>
      </c>
      <c r="F28" s="24">
        <f t="shared" si="1"/>
        <v>-1962</v>
      </c>
      <c r="G28" s="24">
        <f t="shared" si="2"/>
        <v>-0.1662800000012794</v>
      </c>
      <c r="I28" s="24">
        <f>+G28</f>
        <v>-0.1662800000012794</v>
      </c>
      <c r="O28" s="24">
        <f t="shared" ca="1" si="3"/>
        <v>5.0882469682691042E-2</v>
      </c>
      <c r="Q28" s="50">
        <f t="shared" si="4"/>
        <v>14290.778999999999</v>
      </c>
    </row>
    <row r="29" spans="1:21" s="24" customFormat="1" ht="12.95" customHeight="1" x14ac:dyDescent="0.2">
      <c r="A29" s="46" t="s">
        <v>88</v>
      </c>
      <c r="B29" s="47" t="s">
        <v>45</v>
      </c>
      <c r="C29" s="48">
        <v>33920.440999999999</v>
      </c>
      <c r="D29" s="49"/>
      <c r="E29" s="24">
        <f t="shared" si="0"/>
        <v>-551.28833492424849</v>
      </c>
      <c r="F29" s="24">
        <f t="shared" si="1"/>
        <v>-551.5</v>
      </c>
      <c r="O29" s="24">
        <f t="shared" ca="1" si="3"/>
        <v>4.8441851715750849E-2</v>
      </c>
      <c r="Q29" s="50">
        <f t="shared" si="4"/>
        <v>18901.940999999999</v>
      </c>
      <c r="U29" s="24">
        <f>+C29-(C$7+F29*C$8)</f>
        <v>0.69183999999950174</v>
      </c>
    </row>
    <row r="30" spans="1:21" s="24" customFormat="1" ht="12.95" customHeight="1" x14ac:dyDescent="0.2">
      <c r="A30" s="46" t="s">
        <v>88</v>
      </c>
      <c r="B30" s="47" t="s">
        <v>45</v>
      </c>
      <c r="C30" s="48">
        <v>33947.434999999998</v>
      </c>
      <c r="D30" s="49"/>
      <c r="E30" s="24">
        <f t="shared" si="0"/>
        <v>-543.02965220158205</v>
      </c>
      <c r="F30" s="24">
        <f t="shared" si="1"/>
        <v>-543</v>
      </c>
      <c r="G30" s="24">
        <f t="shared" ref="G30:G41" si="5">+C30-(C$7+F30*C$8)</f>
        <v>-9.6920000003592577E-2</v>
      </c>
      <c r="I30" s="24">
        <f>+G30</f>
        <v>-9.6920000003592577E-2</v>
      </c>
      <c r="O30" s="24">
        <f t="shared" ca="1" si="3"/>
        <v>4.8427143986067053E-2</v>
      </c>
      <c r="Q30" s="50">
        <f t="shared" si="4"/>
        <v>18928.934999999998</v>
      </c>
    </row>
    <row r="31" spans="1:21" s="24" customFormat="1" ht="12.95" customHeight="1" x14ac:dyDescent="0.2">
      <c r="A31" s="46" t="s">
        <v>88</v>
      </c>
      <c r="B31" s="47" t="s">
        <v>132</v>
      </c>
      <c r="C31" s="48">
        <v>33949.462</v>
      </c>
      <c r="D31" s="49"/>
      <c r="E31" s="24">
        <f t="shared" si="0"/>
        <v>-542.40950143182351</v>
      </c>
      <c r="F31" s="24">
        <f t="shared" si="1"/>
        <v>-542.5</v>
      </c>
      <c r="G31" s="24">
        <f t="shared" si="5"/>
        <v>0.29579999999987194</v>
      </c>
      <c r="I31" s="24">
        <f>+G31</f>
        <v>0.29579999999987194</v>
      </c>
      <c r="O31" s="24">
        <f t="shared" ca="1" si="3"/>
        <v>4.8426278825497417E-2</v>
      </c>
      <c r="Q31" s="50">
        <f t="shared" si="4"/>
        <v>18930.962</v>
      </c>
    </row>
    <row r="32" spans="1:21" s="24" customFormat="1" ht="12.95" customHeight="1" x14ac:dyDescent="0.2">
      <c r="A32" s="46" t="s">
        <v>88</v>
      </c>
      <c r="B32" s="47" t="s">
        <v>45</v>
      </c>
      <c r="C32" s="48">
        <v>34277.517</v>
      </c>
      <c r="D32" s="49"/>
      <c r="E32" s="24">
        <f t="shared" si="0"/>
        <v>-442.04267322613043</v>
      </c>
      <c r="F32" s="24">
        <f t="shared" si="1"/>
        <v>-442</v>
      </c>
      <c r="G32" s="24">
        <f t="shared" si="5"/>
        <v>-0.13947999999800231</v>
      </c>
      <c r="I32" s="24">
        <f>+G32</f>
        <v>-0.13947999999800231</v>
      </c>
      <c r="O32" s="24">
        <f t="shared" ca="1" si="3"/>
        <v>4.8252381551000791E-2</v>
      </c>
      <c r="Q32" s="50">
        <f t="shared" si="4"/>
        <v>19259.017</v>
      </c>
    </row>
    <row r="33" spans="1:17" s="24" customFormat="1" ht="12.95" customHeight="1" x14ac:dyDescent="0.2">
      <c r="A33" s="46" t="s">
        <v>88</v>
      </c>
      <c r="B33" s="47" t="s">
        <v>132</v>
      </c>
      <c r="C33" s="48">
        <v>34279.58</v>
      </c>
      <c r="D33" s="49"/>
      <c r="E33" s="24">
        <f t="shared" si="0"/>
        <v>-441.41150843184732</v>
      </c>
      <c r="F33" s="24">
        <f t="shared" si="1"/>
        <v>-441.5</v>
      </c>
      <c r="G33" s="24">
        <f t="shared" si="5"/>
        <v>0.28923999999824446</v>
      </c>
      <c r="I33" s="24">
        <f>+G33</f>
        <v>0.28923999999824446</v>
      </c>
      <c r="O33" s="24">
        <f t="shared" ca="1" si="3"/>
        <v>4.8251516390431154E-2</v>
      </c>
      <c r="Q33" s="50">
        <f t="shared" si="4"/>
        <v>19261.080000000002</v>
      </c>
    </row>
    <row r="34" spans="1:17" s="24" customFormat="1" ht="12.95" customHeight="1" x14ac:dyDescent="0.2">
      <c r="A34" s="24" t="s">
        <v>43</v>
      </c>
      <c r="C34" s="49">
        <v>35722.36</v>
      </c>
      <c r="D34" s="49" t="s">
        <v>13</v>
      </c>
      <c r="E34" s="24">
        <f t="shared" si="0"/>
        <v>0</v>
      </c>
      <c r="F34" s="24">
        <f t="shared" si="1"/>
        <v>0</v>
      </c>
      <c r="G34" s="24">
        <f t="shared" si="5"/>
        <v>0</v>
      </c>
      <c r="H34" s="24">
        <f>+G34</f>
        <v>0</v>
      </c>
      <c r="O34" s="24">
        <f t="shared" ca="1" si="3"/>
        <v>4.7487579607443493E-2</v>
      </c>
      <c r="Q34" s="50">
        <f t="shared" si="4"/>
        <v>20703.86</v>
      </c>
    </row>
    <row r="35" spans="1:17" s="24" customFormat="1" ht="12.95" customHeight="1" x14ac:dyDescent="0.2">
      <c r="A35" s="46" t="s">
        <v>105</v>
      </c>
      <c r="B35" s="47" t="s">
        <v>45</v>
      </c>
      <c r="C35" s="48">
        <v>35748.51</v>
      </c>
      <c r="D35" s="49"/>
      <c r="E35" s="24">
        <f t="shared" si="0"/>
        <v>8.000465036591482</v>
      </c>
      <c r="F35" s="24">
        <f t="shared" si="1"/>
        <v>8</v>
      </c>
      <c r="G35" s="24">
        <f t="shared" si="5"/>
        <v>1.5199999979813583E-3</v>
      </c>
      <c r="I35" s="24">
        <f>+G35</f>
        <v>1.5199999979813583E-3</v>
      </c>
      <c r="O35" s="24">
        <f t="shared" ca="1" si="3"/>
        <v>4.7473737038329335E-2</v>
      </c>
      <c r="Q35" s="50">
        <f t="shared" si="4"/>
        <v>20730.010000000002</v>
      </c>
    </row>
    <row r="36" spans="1:17" x14ac:dyDescent="0.2">
      <c r="A36" s="21" t="s">
        <v>105</v>
      </c>
      <c r="B36" s="23" t="s">
        <v>45</v>
      </c>
      <c r="C36" s="22">
        <v>35758.32</v>
      </c>
      <c r="D36" s="3"/>
      <c r="E36">
        <f t="shared" si="0"/>
        <v>11.001786719533717</v>
      </c>
      <c r="F36">
        <f t="shared" si="1"/>
        <v>11</v>
      </c>
      <c r="G36">
        <f t="shared" si="5"/>
        <v>5.8399999979883432E-3</v>
      </c>
      <c r="I36">
        <f>+G36</f>
        <v>5.8399999979883432E-3</v>
      </c>
      <c r="O36">
        <f t="shared" ca="1" si="3"/>
        <v>4.7468546074911522E-2</v>
      </c>
      <c r="Q36" s="1">
        <f t="shared" si="4"/>
        <v>20739.82</v>
      </c>
    </row>
    <row r="37" spans="1:17" x14ac:dyDescent="0.2">
      <c r="A37" s="21" t="s">
        <v>105</v>
      </c>
      <c r="B37" s="23" t="s">
        <v>45</v>
      </c>
      <c r="C37" s="22">
        <v>35761.61</v>
      </c>
      <c r="D37" s="3"/>
      <c r="E37">
        <f t="shared" si="0"/>
        <v>12.008346183028612</v>
      </c>
      <c r="F37">
        <f t="shared" si="1"/>
        <v>12</v>
      </c>
      <c r="G37">
        <f t="shared" si="5"/>
        <v>2.7280000002065208E-2</v>
      </c>
      <c r="I37">
        <f>+G37</f>
        <v>2.7280000002065208E-2</v>
      </c>
      <c r="O37">
        <f t="shared" ca="1" si="3"/>
        <v>4.7466815753772255E-2</v>
      </c>
      <c r="Q37" s="1">
        <f t="shared" si="4"/>
        <v>20743.11</v>
      </c>
    </row>
    <row r="38" spans="1:17" x14ac:dyDescent="0.2">
      <c r="A38" s="21" t="s">
        <v>118</v>
      </c>
      <c r="B38" s="23" t="s">
        <v>45</v>
      </c>
      <c r="C38" s="22">
        <v>39033.444000000003</v>
      </c>
      <c r="D38" s="3"/>
      <c r="E38">
        <f t="shared" si="0"/>
        <v>1013.0100105245132</v>
      </c>
      <c r="F38">
        <f t="shared" si="1"/>
        <v>1013</v>
      </c>
      <c r="G38">
        <f t="shared" si="5"/>
        <v>3.2720000002882443E-2</v>
      </c>
      <c r="I38">
        <f>+G38</f>
        <v>3.2720000002882443E-2</v>
      </c>
      <c r="O38">
        <f t="shared" ca="1" si="3"/>
        <v>4.5734764293363081E-2</v>
      </c>
      <c r="Q38" s="1">
        <f t="shared" si="4"/>
        <v>24014.944000000003</v>
      </c>
    </row>
    <row r="39" spans="1:17" x14ac:dyDescent="0.2">
      <c r="A39" s="21" t="s">
        <v>118</v>
      </c>
      <c r="B39" s="23" t="s">
        <v>45</v>
      </c>
      <c r="C39" s="22">
        <v>39056.341999999997</v>
      </c>
      <c r="D39" s="3"/>
      <c r="E39">
        <f t="shared" si="0"/>
        <v>1020.0155420123835</v>
      </c>
      <c r="F39">
        <f t="shared" si="1"/>
        <v>1020</v>
      </c>
      <c r="G39">
        <f t="shared" si="5"/>
        <v>5.0799999997252598E-2</v>
      </c>
      <c r="I39">
        <f>+G39</f>
        <v>5.0799999997252598E-2</v>
      </c>
      <c r="O39">
        <f t="shared" ca="1" si="3"/>
        <v>4.5722652045388189E-2</v>
      </c>
      <c r="Q39" s="1">
        <f t="shared" si="4"/>
        <v>24037.841999999997</v>
      </c>
    </row>
    <row r="40" spans="1:17" x14ac:dyDescent="0.2">
      <c r="A40" s="21" t="s">
        <v>118</v>
      </c>
      <c r="B40" s="23" t="s">
        <v>45</v>
      </c>
      <c r="C40" s="22">
        <v>41599.264999999999</v>
      </c>
      <c r="D40" s="3"/>
      <c r="E40">
        <f t="shared" si="0"/>
        <v>1798.010438847688</v>
      </c>
      <c r="F40">
        <f t="shared" si="1"/>
        <v>1798</v>
      </c>
      <c r="G40">
        <f t="shared" si="5"/>
        <v>3.4119999996619299E-2</v>
      </c>
      <c r="I40">
        <f>+G40</f>
        <v>3.4119999996619299E-2</v>
      </c>
      <c r="O40">
        <f t="shared" ca="1" si="3"/>
        <v>4.437646219903621E-2</v>
      </c>
      <c r="Q40" s="1">
        <f t="shared" si="4"/>
        <v>26580.764999999999</v>
      </c>
    </row>
    <row r="41" spans="1:17" x14ac:dyDescent="0.2">
      <c r="A41" s="6" t="s">
        <v>44</v>
      </c>
      <c r="B41" s="7" t="s">
        <v>45</v>
      </c>
      <c r="C41" s="6">
        <v>54830.417300000001</v>
      </c>
      <c r="D41" s="52">
        <v>3.5999999999999999E-3</v>
      </c>
      <c r="E41">
        <f t="shared" si="0"/>
        <v>5846.0169921922807</v>
      </c>
      <c r="F41">
        <f t="shared" si="1"/>
        <v>5846</v>
      </c>
      <c r="G41">
        <f t="shared" si="5"/>
        <v>5.5540000001201406E-2</v>
      </c>
      <c r="J41">
        <f>+G41</f>
        <v>5.5540000001201406E-2</v>
      </c>
      <c r="O41">
        <f t="shared" ca="1" si="3"/>
        <v>3.737212222727164E-2</v>
      </c>
      <c r="Q41" s="1">
        <f t="shared" si="4"/>
        <v>39811.917300000001</v>
      </c>
    </row>
    <row r="42" spans="1:17" x14ac:dyDescent="0.2">
      <c r="B42" s="2"/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7"/>
  <sheetViews>
    <sheetView topLeftCell="A6" workbookViewId="0">
      <selection activeCell="A13" sqref="A13:C3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46</v>
      </c>
      <c r="I1" s="9" t="s">
        <v>47</v>
      </c>
      <c r="J1" s="10" t="s">
        <v>48</v>
      </c>
    </row>
    <row r="2" spans="1:16" x14ac:dyDescent="0.2">
      <c r="I2" s="11" t="s">
        <v>49</v>
      </c>
      <c r="J2" s="12" t="s">
        <v>50</v>
      </c>
    </row>
    <row r="3" spans="1:16" x14ac:dyDescent="0.2">
      <c r="A3" s="13" t="s">
        <v>51</v>
      </c>
      <c r="I3" s="11" t="s">
        <v>52</v>
      </c>
      <c r="J3" s="12" t="s">
        <v>53</v>
      </c>
    </row>
    <row r="4" spans="1:16" x14ac:dyDescent="0.2">
      <c r="I4" s="11" t="s">
        <v>54</v>
      </c>
      <c r="J4" s="12" t="s">
        <v>53</v>
      </c>
    </row>
    <row r="5" spans="1:16" ht="13.5" thickBot="1" x14ac:dyDescent="0.25">
      <c r="I5" s="14" t="s">
        <v>55</v>
      </c>
      <c r="J5" s="15" t="s">
        <v>56</v>
      </c>
    </row>
    <row r="10" spans="1:16" ht="13.5" thickBot="1" x14ac:dyDescent="0.25"/>
    <row r="11" spans="1:16" ht="12.75" customHeight="1" thickBot="1" x14ac:dyDescent="0.25">
      <c r="A11" s="3" t="str">
        <f t="shared" ref="A11:A31" si="0">P11</f>
        <v> AC 174.20 </v>
      </c>
      <c r="B11" s="2" t="str">
        <f t="shared" ref="B11:B31" si="1">IF(H11=INT(H11),"I","II")</f>
        <v>I</v>
      </c>
      <c r="C11" s="3">
        <f t="shared" ref="C11:C31" si="2">1*G11</f>
        <v>35722.36</v>
      </c>
      <c r="D11" s="4" t="str">
        <f t="shared" ref="D11:D31" si="3">VLOOKUP(F11,I$1:J$5,2,FALSE)</f>
        <v>vis</v>
      </c>
      <c r="E11" s="16">
        <f>VLOOKUP(C11,Active!C$21:E$973,3,FALSE)</f>
        <v>0</v>
      </c>
      <c r="F11" s="2" t="s">
        <v>55</v>
      </c>
      <c r="G11" s="4" t="str">
        <f t="shared" ref="G11:G31" si="4">MID(I11,3,LEN(I11)-3)</f>
        <v>35722.36</v>
      </c>
      <c r="H11" s="3">
        <f t="shared" ref="H11:H31" si="5">1*K11</f>
        <v>-4816</v>
      </c>
      <c r="I11" s="17" t="s">
        <v>101</v>
      </c>
      <c r="J11" s="18" t="s">
        <v>102</v>
      </c>
      <c r="K11" s="17">
        <v>-4816</v>
      </c>
      <c r="L11" s="17" t="s">
        <v>103</v>
      </c>
      <c r="M11" s="18" t="s">
        <v>104</v>
      </c>
      <c r="N11" s="18"/>
      <c r="O11" s="19" t="s">
        <v>87</v>
      </c>
      <c r="P11" s="19" t="s">
        <v>105</v>
      </c>
    </row>
    <row r="12" spans="1:16" ht="12.75" customHeight="1" thickBot="1" x14ac:dyDescent="0.25">
      <c r="A12" s="3" t="str">
        <f t="shared" si="0"/>
        <v>BAVM 209 </v>
      </c>
      <c r="B12" s="2" t="str">
        <f t="shared" si="1"/>
        <v>I</v>
      </c>
      <c r="C12" s="3">
        <f t="shared" si="2"/>
        <v>54830.417300000001</v>
      </c>
      <c r="D12" s="4" t="str">
        <f t="shared" si="3"/>
        <v>vis</v>
      </c>
      <c r="E12" s="16">
        <f>VLOOKUP(C12,Active!C$21:E$973,3,FALSE)</f>
        <v>5846.0169921922807</v>
      </c>
      <c r="F12" s="2" t="s">
        <v>55</v>
      </c>
      <c r="G12" s="4" t="str">
        <f t="shared" si="4"/>
        <v>54830.4173</v>
      </c>
      <c r="H12" s="3">
        <f t="shared" si="5"/>
        <v>1031</v>
      </c>
      <c r="I12" s="17" t="s">
        <v>125</v>
      </c>
      <c r="J12" s="18" t="s">
        <v>126</v>
      </c>
      <c r="K12" s="17">
        <v>1031</v>
      </c>
      <c r="L12" s="17" t="s">
        <v>127</v>
      </c>
      <c r="M12" s="18" t="s">
        <v>128</v>
      </c>
      <c r="N12" s="18" t="s">
        <v>129</v>
      </c>
      <c r="O12" s="19" t="s">
        <v>130</v>
      </c>
      <c r="P12" s="20" t="s">
        <v>131</v>
      </c>
    </row>
    <row r="13" spans="1:16" ht="12.75" customHeight="1" thickBot="1" x14ac:dyDescent="0.25">
      <c r="A13" s="3" t="str">
        <f t="shared" si="0"/>
        <v> KVB 16.2 </v>
      </c>
      <c r="B13" s="2" t="str">
        <f t="shared" si="1"/>
        <v>I</v>
      </c>
      <c r="C13" s="3">
        <f t="shared" si="2"/>
        <v>26949.548999999999</v>
      </c>
      <c r="D13" s="4" t="str">
        <f t="shared" si="3"/>
        <v>vis</v>
      </c>
      <c r="E13" s="16">
        <f>VLOOKUP(C13,Active!C$21:E$973,3,FALSE)</f>
        <v>-2683.9987639816927</v>
      </c>
      <c r="F13" s="2" t="s">
        <v>55</v>
      </c>
      <c r="G13" s="4" t="str">
        <f t="shared" si="4"/>
        <v>26949.549</v>
      </c>
      <c r="H13" s="3">
        <f t="shared" si="5"/>
        <v>-7500</v>
      </c>
      <c r="I13" s="17" t="s">
        <v>57</v>
      </c>
      <c r="J13" s="18" t="s">
        <v>58</v>
      </c>
      <c r="K13" s="17">
        <v>-7500</v>
      </c>
      <c r="L13" s="17" t="s">
        <v>59</v>
      </c>
      <c r="M13" s="18" t="s">
        <v>60</v>
      </c>
      <c r="N13" s="18"/>
      <c r="O13" s="19" t="s">
        <v>61</v>
      </c>
      <c r="P13" s="19" t="s">
        <v>62</v>
      </c>
    </row>
    <row r="14" spans="1:16" ht="12.75" customHeight="1" thickBot="1" x14ac:dyDescent="0.25">
      <c r="A14" s="3" t="str">
        <f t="shared" si="0"/>
        <v> KVB 16.2 </v>
      </c>
      <c r="B14" s="2" t="str">
        <f t="shared" si="1"/>
        <v>I</v>
      </c>
      <c r="C14" s="3">
        <f t="shared" si="2"/>
        <v>26985.48</v>
      </c>
      <c r="D14" s="4" t="str">
        <f t="shared" si="3"/>
        <v>vis</v>
      </c>
      <c r="E14" s="16">
        <f>VLOOKUP(C14,Active!C$21:E$973,3,FALSE)</f>
        <v>-2673.0058496708034</v>
      </c>
      <c r="F14" s="2" t="s">
        <v>55</v>
      </c>
      <c r="G14" s="4" t="str">
        <f t="shared" si="4"/>
        <v>26985.480</v>
      </c>
      <c r="H14" s="3">
        <f t="shared" si="5"/>
        <v>-7489</v>
      </c>
      <c r="I14" s="17" t="s">
        <v>63</v>
      </c>
      <c r="J14" s="18" t="s">
        <v>64</v>
      </c>
      <c r="K14" s="17">
        <v>-7489</v>
      </c>
      <c r="L14" s="17" t="s">
        <v>65</v>
      </c>
      <c r="M14" s="18" t="s">
        <v>60</v>
      </c>
      <c r="N14" s="18"/>
      <c r="O14" s="19" t="s">
        <v>61</v>
      </c>
      <c r="P14" s="19" t="s">
        <v>62</v>
      </c>
    </row>
    <row r="15" spans="1:16" ht="12.75" customHeight="1" thickBot="1" x14ac:dyDescent="0.25">
      <c r="A15" s="3" t="str">
        <f t="shared" si="0"/>
        <v> KVB 16.2 </v>
      </c>
      <c r="B15" s="2" t="str">
        <f t="shared" si="1"/>
        <v>I</v>
      </c>
      <c r="C15" s="3">
        <f t="shared" si="2"/>
        <v>27031.374</v>
      </c>
      <c r="D15" s="4" t="str">
        <f t="shared" si="3"/>
        <v>vis</v>
      </c>
      <c r="E15" s="16">
        <f>VLOOKUP(C15,Active!C$21:E$973,3,FALSE)</f>
        <v>-2658.964804072742</v>
      </c>
      <c r="F15" s="2" t="s">
        <v>55</v>
      </c>
      <c r="G15" s="4" t="str">
        <f t="shared" si="4"/>
        <v>27031.374</v>
      </c>
      <c r="H15" s="3">
        <f t="shared" si="5"/>
        <v>-7475</v>
      </c>
      <c r="I15" s="17" t="s">
        <v>66</v>
      </c>
      <c r="J15" s="18" t="s">
        <v>67</v>
      </c>
      <c r="K15" s="17">
        <v>-7475</v>
      </c>
      <c r="L15" s="17" t="s">
        <v>68</v>
      </c>
      <c r="M15" s="18" t="s">
        <v>60</v>
      </c>
      <c r="N15" s="18"/>
      <c r="O15" s="19" t="s">
        <v>61</v>
      </c>
      <c r="P15" s="19" t="s">
        <v>62</v>
      </c>
    </row>
    <row r="16" spans="1:16" ht="12.75" customHeight="1" thickBot="1" x14ac:dyDescent="0.25">
      <c r="A16" s="3" t="str">
        <f t="shared" si="0"/>
        <v> KVB 16.2 </v>
      </c>
      <c r="B16" s="2" t="str">
        <f t="shared" si="1"/>
        <v>I</v>
      </c>
      <c r="C16" s="3">
        <f t="shared" si="2"/>
        <v>27397.38</v>
      </c>
      <c r="D16" s="4" t="str">
        <f t="shared" si="3"/>
        <v>vis</v>
      </c>
      <c r="E16" s="16">
        <f>VLOOKUP(C16,Active!C$21:E$973,3,FALSE)</f>
        <v>-2546.9870524022813</v>
      </c>
      <c r="F16" s="2" t="s">
        <v>55</v>
      </c>
      <c r="G16" s="4" t="str">
        <f t="shared" si="4"/>
        <v>27397.380</v>
      </c>
      <c r="H16" s="3">
        <f t="shared" si="5"/>
        <v>-7363</v>
      </c>
      <c r="I16" s="17" t="s">
        <v>69</v>
      </c>
      <c r="J16" s="18" t="s">
        <v>70</v>
      </c>
      <c r="K16" s="17">
        <v>-7363</v>
      </c>
      <c r="L16" s="17" t="s">
        <v>71</v>
      </c>
      <c r="M16" s="18" t="s">
        <v>60</v>
      </c>
      <c r="N16" s="18"/>
      <c r="O16" s="19" t="s">
        <v>61</v>
      </c>
      <c r="P16" s="19" t="s">
        <v>62</v>
      </c>
    </row>
    <row r="17" spans="1:16" ht="12.75" customHeight="1" thickBot="1" x14ac:dyDescent="0.25">
      <c r="A17" s="3" t="str">
        <f t="shared" si="0"/>
        <v> KVB 16.2 </v>
      </c>
      <c r="B17" s="2" t="str">
        <f t="shared" si="1"/>
        <v>I</v>
      </c>
      <c r="C17" s="3">
        <f t="shared" si="2"/>
        <v>28211.26</v>
      </c>
      <c r="D17" s="4" t="str">
        <f t="shared" si="3"/>
        <v>vis</v>
      </c>
      <c r="E17" s="16">
        <f>VLOOKUP(C17,Active!C$21:E$973,3,FALSE)</f>
        <v>-2297.984433512006</v>
      </c>
      <c r="F17" s="2" t="s">
        <v>55</v>
      </c>
      <c r="G17" s="4" t="str">
        <f t="shared" si="4"/>
        <v>28211.260</v>
      </c>
      <c r="H17" s="3">
        <f t="shared" si="5"/>
        <v>-7114</v>
      </c>
      <c r="I17" s="17" t="s">
        <v>72</v>
      </c>
      <c r="J17" s="18" t="s">
        <v>73</v>
      </c>
      <c r="K17" s="17">
        <v>-7114</v>
      </c>
      <c r="L17" s="17" t="s">
        <v>74</v>
      </c>
      <c r="M17" s="18" t="s">
        <v>60</v>
      </c>
      <c r="N17" s="18"/>
      <c r="O17" s="19" t="s">
        <v>61</v>
      </c>
      <c r="P17" s="19" t="s">
        <v>62</v>
      </c>
    </row>
    <row r="18" spans="1:16" ht="12.75" customHeight="1" thickBot="1" x14ac:dyDescent="0.25">
      <c r="A18" s="3" t="str">
        <f t="shared" si="0"/>
        <v> KVB 16.2 </v>
      </c>
      <c r="B18" s="2" t="str">
        <f t="shared" si="1"/>
        <v>I</v>
      </c>
      <c r="C18" s="3">
        <f t="shared" si="2"/>
        <v>28397.531999999999</v>
      </c>
      <c r="D18" s="4" t="str">
        <f t="shared" si="3"/>
        <v>vis</v>
      </c>
      <c r="E18" s="16">
        <f>VLOOKUP(C18,Active!C$21:E$973,3,FALSE)</f>
        <v>-2240.9954230609201</v>
      </c>
      <c r="F18" s="2" t="s">
        <v>55</v>
      </c>
      <c r="G18" s="4" t="str">
        <f t="shared" si="4"/>
        <v>28397.532</v>
      </c>
      <c r="H18" s="3">
        <f t="shared" si="5"/>
        <v>-7057</v>
      </c>
      <c r="I18" s="17" t="s">
        <v>75</v>
      </c>
      <c r="J18" s="18" t="s">
        <v>76</v>
      </c>
      <c r="K18" s="17">
        <v>-7057</v>
      </c>
      <c r="L18" s="17" t="s">
        <v>77</v>
      </c>
      <c r="M18" s="18" t="s">
        <v>60</v>
      </c>
      <c r="N18" s="18"/>
      <c r="O18" s="19" t="s">
        <v>61</v>
      </c>
      <c r="P18" s="19" t="s">
        <v>62</v>
      </c>
    </row>
    <row r="19" spans="1:16" ht="12.75" customHeight="1" thickBot="1" x14ac:dyDescent="0.25">
      <c r="A19" s="3" t="str">
        <f t="shared" si="0"/>
        <v> KVB 16.2 </v>
      </c>
      <c r="B19" s="2" t="str">
        <f t="shared" si="1"/>
        <v>I</v>
      </c>
      <c r="C19" s="3">
        <f t="shared" si="2"/>
        <v>28835.402999999998</v>
      </c>
      <c r="D19" s="4" t="str">
        <f t="shared" si="3"/>
        <v>vis</v>
      </c>
      <c r="E19" s="16">
        <f>VLOOKUP(C19,Active!C$21:E$973,3,FALSE)</f>
        <v>-2107.0309249333045</v>
      </c>
      <c r="F19" s="2" t="s">
        <v>55</v>
      </c>
      <c r="G19" s="4" t="str">
        <f t="shared" si="4"/>
        <v>28835.403</v>
      </c>
      <c r="H19" s="3">
        <f t="shared" si="5"/>
        <v>-6923</v>
      </c>
      <c r="I19" s="17" t="s">
        <v>78</v>
      </c>
      <c r="J19" s="18" t="s">
        <v>79</v>
      </c>
      <c r="K19" s="17">
        <v>-6923</v>
      </c>
      <c r="L19" s="17" t="s">
        <v>80</v>
      </c>
      <c r="M19" s="18" t="s">
        <v>60</v>
      </c>
      <c r="N19" s="18"/>
      <c r="O19" s="19" t="s">
        <v>61</v>
      </c>
      <c r="P19" s="19" t="s">
        <v>62</v>
      </c>
    </row>
    <row r="20" spans="1:16" ht="12.75" customHeight="1" thickBot="1" x14ac:dyDescent="0.25">
      <c r="A20" s="3" t="str">
        <f t="shared" si="0"/>
        <v> KVB 16.2 </v>
      </c>
      <c r="B20" s="2" t="str">
        <f t="shared" si="1"/>
        <v>I</v>
      </c>
      <c r="C20" s="3">
        <f t="shared" si="2"/>
        <v>29309.278999999999</v>
      </c>
      <c r="D20" s="4" t="str">
        <f t="shared" si="3"/>
        <v>vis</v>
      </c>
      <c r="E20" s="16">
        <f>VLOOKUP(C20,Active!C$21:E$973,3,FALSE)</f>
        <v>-1962.0508725554992</v>
      </c>
      <c r="F20" s="2" t="s">
        <v>55</v>
      </c>
      <c r="G20" s="4" t="str">
        <f t="shared" si="4"/>
        <v>29309.279</v>
      </c>
      <c r="H20" s="3">
        <f t="shared" si="5"/>
        <v>-6778</v>
      </c>
      <c r="I20" s="17" t="s">
        <v>81</v>
      </c>
      <c r="J20" s="18" t="s">
        <v>82</v>
      </c>
      <c r="K20" s="17">
        <v>-6778</v>
      </c>
      <c r="L20" s="17" t="s">
        <v>83</v>
      </c>
      <c r="M20" s="18" t="s">
        <v>60</v>
      </c>
      <c r="N20" s="18"/>
      <c r="O20" s="19" t="s">
        <v>61</v>
      </c>
      <c r="P20" s="19" t="s">
        <v>62</v>
      </c>
    </row>
    <row r="21" spans="1:16" ht="12.75" customHeight="1" thickBot="1" x14ac:dyDescent="0.25">
      <c r="A21" s="3" t="str">
        <f t="shared" si="0"/>
        <v> AC 170.16 </v>
      </c>
      <c r="B21" s="2" t="str">
        <f t="shared" si="1"/>
        <v>I</v>
      </c>
      <c r="C21" s="3">
        <f t="shared" si="2"/>
        <v>33920.440999999999</v>
      </c>
      <c r="D21" s="4" t="str">
        <f t="shared" si="3"/>
        <v>vis</v>
      </c>
      <c r="E21" s="16">
        <f>VLOOKUP(C21,Active!C$21:E$973,3,FALSE)</f>
        <v>-551.28833492424849</v>
      </c>
      <c r="F21" s="2" t="s">
        <v>55</v>
      </c>
      <c r="G21" s="4" t="str">
        <f t="shared" si="4"/>
        <v>33920.441</v>
      </c>
      <c r="H21" s="3">
        <f t="shared" si="5"/>
        <v>-5367</v>
      </c>
      <c r="I21" s="17" t="s">
        <v>84</v>
      </c>
      <c r="J21" s="18" t="s">
        <v>85</v>
      </c>
      <c r="K21" s="17">
        <v>-5367</v>
      </c>
      <c r="L21" s="17" t="s">
        <v>86</v>
      </c>
      <c r="M21" s="18" t="s">
        <v>60</v>
      </c>
      <c r="N21" s="18"/>
      <c r="O21" s="19" t="s">
        <v>87</v>
      </c>
      <c r="P21" s="19" t="s">
        <v>88</v>
      </c>
    </row>
    <row r="22" spans="1:16" ht="12.75" customHeight="1" thickBot="1" x14ac:dyDescent="0.25">
      <c r="A22" s="3" t="str">
        <f t="shared" si="0"/>
        <v> AC 170.16 </v>
      </c>
      <c r="B22" s="2" t="str">
        <f t="shared" si="1"/>
        <v>I</v>
      </c>
      <c r="C22" s="3">
        <f t="shared" si="2"/>
        <v>33947.434999999998</v>
      </c>
      <c r="D22" s="4" t="str">
        <f t="shared" si="3"/>
        <v>vis</v>
      </c>
      <c r="E22" s="16">
        <f>VLOOKUP(C22,Active!C$21:E$973,3,FALSE)</f>
        <v>-543.02965220158205</v>
      </c>
      <c r="F22" s="2" t="s">
        <v>55</v>
      </c>
      <c r="G22" s="4" t="str">
        <f t="shared" si="4"/>
        <v>33947.435</v>
      </c>
      <c r="H22" s="3">
        <f t="shared" si="5"/>
        <v>-5359</v>
      </c>
      <c r="I22" s="17" t="s">
        <v>89</v>
      </c>
      <c r="J22" s="18" t="s">
        <v>90</v>
      </c>
      <c r="K22" s="17">
        <v>-5359</v>
      </c>
      <c r="L22" s="17" t="s">
        <v>91</v>
      </c>
      <c r="M22" s="18" t="s">
        <v>60</v>
      </c>
      <c r="N22" s="18"/>
      <c r="O22" s="19" t="s">
        <v>87</v>
      </c>
      <c r="P22" s="19" t="s">
        <v>88</v>
      </c>
    </row>
    <row r="23" spans="1:16" ht="12.75" customHeight="1" thickBot="1" x14ac:dyDescent="0.25">
      <c r="A23" s="3" t="str">
        <f t="shared" si="0"/>
        <v> AC 170.16 </v>
      </c>
      <c r="B23" s="2" t="str">
        <f t="shared" si="1"/>
        <v>II</v>
      </c>
      <c r="C23" s="3">
        <f t="shared" si="2"/>
        <v>33949.462</v>
      </c>
      <c r="D23" s="4" t="str">
        <f t="shared" si="3"/>
        <v>vis</v>
      </c>
      <c r="E23" s="16">
        <f>VLOOKUP(C23,Active!C$21:E$973,3,FALSE)</f>
        <v>-542.40950143182351</v>
      </c>
      <c r="F23" s="2" t="s">
        <v>55</v>
      </c>
      <c r="G23" s="4" t="str">
        <f t="shared" si="4"/>
        <v>33949.462</v>
      </c>
      <c r="H23" s="3">
        <f t="shared" si="5"/>
        <v>-5358.5</v>
      </c>
      <c r="I23" s="17" t="s">
        <v>92</v>
      </c>
      <c r="J23" s="18" t="s">
        <v>93</v>
      </c>
      <c r="K23" s="17">
        <v>-5358.5</v>
      </c>
      <c r="L23" s="17" t="s">
        <v>94</v>
      </c>
      <c r="M23" s="18" t="s">
        <v>60</v>
      </c>
      <c r="N23" s="18"/>
      <c r="O23" s="19" t="s">
        <v>87</v>
      </c>
      <c r="P23" s="19" t="s">
        <v>88</v>
      </c>
    </row>
    <row r="24" spans="1:16" ht="12.75" customHeight="1" thickBot="1" x14ac:dyDescent="0.25">
      <c r="A24" s="3" t="str">
        <f t="shared" si="0"/>
        <v> AC 170.16 </v>
      </c>
      <c r="B24" s="2" t="str">
        <f t="shared" si="1"/>
        <v>I</v>
      </c>
      <c r="C24" s="3">
        <f t="shared" si="2"/>
        <v>34277.517</v>
      </c>
      <c r="D24" s="4" t="str">
        <f t="shared" si="3"/>
        <v>vis</v>
      </c>
      <c r="E24" s="16">
        <f>VLOOKUP(C24,Active!C$21:E$973,3,FALSE)</f>
        <v>-442.04267322613043</v>
      </c>
      <c r="F24" s="2" t="s">
        <v>55</v>
      </c>
      <c r="G24" s="4" t="str">
        <f t="shared" si="4"/>
        <v>34277.517</v>
      </c>
      <c r="H24" s="3">
        <f t="shared" si="5"/>
        <v>-5258</v>
      </c>
      <c r="I24" s="17" t="s">
        <v>95</v>
      </c>
      <c r="J24" s="18" t="s">
        <v>96</v>
      </c>
      <c r="K24" s="17">
        <v>-5258</v>
      </c>
      <c r="L24" s="17" t="s">
        <v>97</v>
      </c>
      <c r="M24" s="18" t="s">
        <v>60</v>
      </c>
      <c r="N24" s="18"/>
      <c r="O24" s="19" t="s">
        <v>87</v>
      </c>
      <c r="P24" s="19" t="s">
        <v>88</v>
      </c>
    </row>
    <row r="25" spans="1:16" ht="12.75" customHeight="1" thickBot="1" x14ac:dyDescent="0.25">
      <c r="A25" s="3" t="str">
        <f t="shared" si="0"/>
        <v> AC 170.16 </v>
      </c>
      <c r="B25" s="2" t="str">
        <f t="shared" si="1"/>
        <v>II</v>
      </c>
      <c r="C25" s="3">
        <f t="shared" si="2"/>
        <v>34279.58</v>
      </c>
      <c r="D25" s="4" t="str">
        <f t="shared" si="3"/>
        <v>vis</v>
      </c>
      <c r="E25" s="16">
        <f>VLOOKUP(C25,Active!C$21:E$973,3,FALSE)</f>
        <v>-441.41150843184732</v>
      </c>
      <c r="F25" s="2" t="s">
        <v>55</v>
      </c>
      <c r="G25" s="4" t="str">
        <f t="shared" si="4"/>
        <v>34279.580</v>
      </c>
      <c r="H25" s="3">
        <f t="shared" si="5"/>
        <v>-5257.5</v>
      </c>
      <c r="I25" s="17" t="s">
        <v>98</v>
      </c>
      <c r="J25" s="18" t="s">
        <v>99</v>
      </c>
      <c r="K25" s="17">
        <v>-5257.5</v>
      </c>
      <c r="L25" s="17" t="s">
        <v>100</v>
      </c>
      <c r="M25" s="18" t="s">
        <v>60</v>
      </c>
      <c r="N25" s="18"/>
      <c r="O25" s="19" t="s">
        <v>87</v>
      </c>
      <c r="P25" s="19" t="s">
        <v>88</v>
      </c>
    </row>
    <row r="26" spans="1:16" ht="12.75" customHeight="1" thickBot="1" x14ac:dyDescent="0.25">
      <c r="A26" s="3" t="str">
        <f t="shared" si="0"/>
        <v> AC 174.20 </v>
      </c>
      <c r="B26" s="2" t="str">
        <f t="shared" si="1"/>
        <v>I</v>
      </c>
      <c r="C26" s="3">
        <f t="shared" si="2"/>
        <v>35748.51</v>
      </c>
      <c r="D26" s="4" t="str">
        <f t="shared" si="3"/>
        <v>vis</v>
      </c>
      <c r="E26" s="16">
        <f>VLOOKUP(C26,Active!C$21:E$973,3,FALSE)</f>
        <v>8.000465036591482</v>
      </c>
      <c r="F26" s="2" t="s">
        <v>55</v>
      </c>
      <c r="G26" s="4" t="str">
        <f t="shared" si="4"/>
        <v>35748.51</v>
      </c>
      <c r="H26" s="3">
        <f t="shared" si="5"/>
        <v>-4808</v>
      </c>
      <c r="I26" s="17" t="s">
        <v>106</v>
      </c>
      <c r="J26" s="18" t="s">
        <v>107</v>
      </c>
      <c r="K26" s="17">
        <v>-4808</v>
      </c>
      <c r="L26" s="17" t="s">
        <v>108</v>
      </c>
      <c r="M26" s="18" t="s">
        <v>104</v>
      </c>
      <c r="N26" s="18"/>
      <c r="O26" s="19" t="s">
        <v>87</v>
      </c>
      <c r="P26" s="19" t="s">
        <v>105</v>
      </c>
    </row>
    <row r="27" spans="1:16" ht="12.75" customHeight="1" thickBot="1" x14ac:dyDescent="0.25">
      <c r="A27" s="3" t="str">
        <f t="shared" si="0"/>
        <v> AC 174.20 </v>
      </c>
      <c r="B27" s="2" t="str">
        <f t="shared" si="1"/>
        <v>I</v>
      </c>
      <c r="C27" s="3">
        <f t="shared" si="2"/>
        <v>35758.32</v>
      </c>
      <c r="D27" s="4" t="str">
        <f t="shared" si="3"/>
        <v>vis</v>
      </c>
      <c r="E27" s="16">
        <f>VLOOKUP(C27,Active!C$21:E$973,3,FALSE)</f>
        <v>11.001786719533717</v>
      </c>
      <c r="F27" s="2" t="s">
        <v>55</v>
      </c>
      <c r="G27" s="4" t="str">
        <f t="shared" si="4"/>
        <v>35758.32</v>
      </c>
      <c r="H27" s="3">
        <f t="shared" si="5"/>
        <v>-4805</v>
      </c>
      <c r="I27" s="17" t="s">
        <v>109</v>
      </c>
      <c r="J27" s="18" t="s">
        <v>110</v>
      </c>
      <c r="K27" s="17">
        <v>-4805</v>
      </c>
      <c r="L27" s="17" t="s">
        <v>108</v>
      </c>
      <c r="M27" s="18" t="s">
        <v>104</v>
      </c>
      <c r="N27" s="18"/>
      <c r="O27" s="19" t="s">
        <v>87</v>
      </c>
      <c r="P27" s="19" t="s">
        <v>105</v>
      </c>
    </row>
    <row r="28" spans="1:16" ht="12.75" customHeight="1" thickBot="1" x14ac:dyDescent="0.25">
      <c r="A28" s="3" t="str">
        <f t="shared" si="0"/>
        <v> AC 174.20 </v>
      </c>
      <c r="B28" s="2" t="str">
        <f t="shared" si="1"/>
        <v>I</v>
      </c>
      <c r="C28" s="3">
        <f t="shared" si="2"/>
        <v>35761.61</v>
      </c>
      <c r="D28" s="4" t="str">
        <f t="shared" si="3"/>
        <v>vis</v>
      </c>
      <c r="E28" s="16">
        <f>VLOOKUP(C28,Active!C$21:E$973,3,FALSE)</f>
        <v>12.008346183028612</v>
      </c>
      <c r="F28" s="2" t="s">
        <v>55</v>
      </c>
      <c r="G28" s="4" t="str">
        <f t="shared" si="4"/>
        <v>35761.61</v>
      </c>
      <c r="H28" s="3">
        <f t="shared" si="5"/>
        <v>-4804</v>
      </c>
      <c r="I28" s="17" t="s">
        <v>111</v>
      </c>
      <c r="J28" s="18" t="s">
        <v>112</v>
      </c>
      <c r="K28" s="17">
        <v>-4804</v>
      </c>
      <c r="L28" s="17" t="s">
        <v>113</v>
      </c>
      <c r="M28" s="18" t="s">
        <v>104</v>
      </c>
      <c r="N28" s="18"/>
      <c r="O28" s="19" t="s">
        <v>87</v>
      </c>
      <c r="P28" s="19" t="s">
        <v>105</v>
      </c>
    </row>
    <row r="29" spans="1:16" ht="12.75" customHeight="1" thickBot="1" x14ac:dyDescent="0.25">
      <c r="A29" s="3" t="str">
        <f t="shared" si="0"/>
        <v> HABZ 84 </v>
      </c>
      <c r="B29" s="2" t="str">
        <f t="shared" si="1"/>
        <v>I</v>
      </c>
      <c r="C29" s="3">
        <f t="shared" si="2"/>
        <v>39033.444000000003</v>
      </c>
      <c r="D29" s="4" t="str">
        <f t="shared" si="3"/>
        <v>vis</v>
      </c>
      <c r="E29" s="16">
        <f>VLOOKUP(C29,Active!C$21:E$973,3,FALSE)</f>
        <v>1013.0100105245132</v>
      </c>
      <c r="F29" s="2" t="s">
        <v>55</v>
      </c>
      <c r="G29" s="4" t="str">
        <f t="shared" si="4"/>
        <v>39033.444</v>
      </c>
      <c r="H29" s="3">
        <f t="shared" si="5"/>
        <v>-3803</v>
      </c>
      <c r="I29" s="17" t="s">
        <v>114</v>
      </c>
      <c r="J29" s="18" t="s">
        <v>115</v>
      </c>
      <c r="K29" s="17">
        <v>-3803</v>
      </c>
      <c r="L29" s="17" t="s">
        <v>116</v>
      </c>
      <c r="M29" s="18" t="s">
        <v>60</v>
      </c>
      <c r="N29" s="18"/>
      <c r="O29" s="19" t="s">
        <v>117</v>
      </c>
      <c r="P29" s="19" t="s">
        <v>118</v>
      </c>
    </row>
    <row r="30" spans="1:16" ht="12.75" customHeight="1" thickBot="1" x14ac:dyDescent="0.25">
      <c r="A30" s="3" t="str">
        <f t="shared" si="0"/>
        <v> HABZ 84 </v>
      </c>
      <c r="B30" s="2" t="str">
        <f t="shared" si="1"/>
        <v>I</v>
      </c>
      <c r="C30" s="3">
        <f t="shared" si="2"/>
        <v>39056.341999999997</v>
      </c>
      <c r="D30" s="4" t="str">
        <f t="shared" si="3"/>
        <v>vis</v>
      </c>
      <c r="E30" s="16">
        <f>VLOOKUP(C30,Active!C$21:E$973,3,FALSE)</f>
        <v>1020.0155420123835</v>
      </c>
      <c r="F30" s="2" t="s">
        <v>55</v>
      </c>
      <c r="G30" s="4" t="str">
        <f t="shared" si="4"/>
        <v>39056.342</v>
      </c>
      <c r="H30" s="3">
        <f t="shared" si="5"/>
        <v>-3796</v>
      </c>
      <c r="I30" s="17" t="s">
        <v>119</v>
      </c>
      <c r="J30" s="18" t="s">
        <v>120</v>
      </c>
      <c r="K30" s="17">
        <v>-3796</v>
      </c>
      <c r="L30" s="17" t="s">
        <v>121</v>
      </c>
      <c r="M30" s="18" t="s">
        <v>60</v>
      </c>
      <c r="N30" s="18"/>
      <c r="O30" s="19" t="s">
        <v>117</v>
      </c>
      <c r="P30" s="19" t="s">
        <v>118</v>
      </c>
    </row>
    <row r="31" spans="1:16" ht="12.75" customHeight="1" thickBot="1" x14ac:dyDescent="0.25">
      <c r="A31" s="3" t="str">
        <f t="shared" si="0"/>
        <v> HABZ 84 </v>
      </c>
      <c r="B31" s="2" t="str">
        <f t="shared" si="1"/>
        <v>I</v>
      </c>
      <c r="C31" s="3">
        <f t="shared" si="2"/>
        <v>41599.264999999999</v>
      </c>
      <c r="D31" s="4" t="str">
        <f t="shared" si="3"/>
        <v>vis</v>
      </c>
      <c r="E31" s="16">
        <f>VLOOKUP(C31,Active!C$21:E$973,3,FALSE)</f>
        <v>1798.010438847688</v>
      </c>
      <c r="F31" s="2" t="s">
        <v>55</v>
      </c>
      <c r="G31" s="4" t="str">
        <f t="shared" si="4"/>
        <v>41599.265</v>
      </c>
      <c r="H31" s="3">
        <f t="shared" si="5"/>
        <v>-3018</v>
      </c>
      <c r="I31" s="17" t="s">
        <v>122</v>
      </c>
      <c r="J31" s="18" t="s">
        <v>123</v>
      </c>
      <c r="K31" s="17">
        <v>-3018</v>
      </c>
      <c r="L31" s="17" t="s">
        <v>124</v>
      </c>
      <c r="M31" s="18" t="s">
        <v>60</v>
      </c>
      <c r="N31" s="18"/>
      <c r="O31" s="19" t="s">
        <v>117</v>
      </c>
      <c r="P31" s="19" t="s">
        <v>118</v>
      </c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</sheetData>
  <phoneticPr fontId="7" type="noConversion"/>
  <hyperlinks>
    <hyperlink ref="P12" r:id="rId1" display="http://www.bav-astro.de/sfs/BAVM_link.php?BAVMnr=20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2024-03-09T02:54:34Z</dcterms:modified>
</cp:coreProperties>
</file>