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89B8194-EE04-4C69-83CF-695C2C39D0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46" i="1"/>
  <c r="E25" i="1"/>
  <c r="F25" i="1"/>
  <c r="E33" i="1"/>
  <c r="F33" i="1"/>
  <c r="E41" i="1"/>
  <c r="F4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G13" i="2"/>
  <c r="C13" i="2"/>
  <c r="G12" i="2"/>
  <c r="C12" i="2"/>
  <c r="G11" i="2"/>
  <c r="C11" i="2"/>
  <c r="G34" i="2"/>
  <c r="C34" i="2"/>
  <c r="E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E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H13" i="2"/>
  <c r="D13" i="2"/>
  <c r="B13" i="2"/>
  <c r="A13" i="2"/>
  <c r="H12" i="2"/>
  <c r="D12" i="2"/>
  <c r="B12" i="2"/>
  <c r="A12" i="2"/>
  <c r="H11" i="2"/>
  <c r="B11" i="2"/>
  <c r="D11" i="2"/>
  <c r="A11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Q42" i="1"/>
  <c r="Q43" i="1"/>
  <c r="Q44" i="1"/>
  <c r="C7" i="1"/>
  <c r="E46" i="1"/>
  <c r="F46" i="1"/>
  <c r="C8" i="1"/>
  <c r="Q45" i="1"/>
  <c r="F17" i="1"/>
  <c r="C17" i="1"/>
  <c r="E22" i="2"/>
  <c r="E23" i="2"/>
  <c r="G40" i="1"/>
  <c r="H40" i="1"/>
  <c r="E38" i="1"/>
  <c r="F38" i="1"/>
  <c r="G38" i="1"/>
  <c r="H38" i="1"/>
  <c r="E30" i="1"/>
  <c r="F30" i="1"/>
  <c r="E22" i="1"/>
  <c r="F22" i="1"/>
  <c r="E43" i="1"/>
  <c r="F43" i="1"/>
  <c r="G43" i="1"/>
  <c r="K43" i="1"/>
  <c r="E35" i="1"/>
  <c r="F35" i="1"/>
  <c r="G35" i="1"/>
  <c r="H35" i="1"/>
  <c r="E27" i="1"/>
  <c r="F27" i="1"/>
  <c r="G27" i="1"/>
  <c r="H27" i="1"/>
  <c r="E40" i="1"/>
  <c r="F40" i="1"/>
  <c r="E32" i="1"/>
  <c r="F32" i="1"/>
  <c r="G32" i="1"/>
  <c r="H32" i="1"/>
  <c r="E24" i="1"/>
  <c r="F24" i="1"/>
  <c r="G24" i="1"/>
  <c r="H24" i="1"/>
  <c r="E45" i="1"/>
  <c r="F45" i="1"/>
  <c r="G45" i="1"/>
  <c r="I45" i="1"/>
  <c r="E37" i="1"/>
  <c r="F37" i="1"/>
  <c r="G37" i="1"/>
  <c r="H37" i="1"/>
  <c r="E29" i="1"/>
  <c r="F29" i="1"/>
  <c r="G29" i="1"/>
  <c r="H29" i="1"/>
  <c r="E42" i="1"/>
  <c r="F42" i="1"/>
  <c r="G42" i="1"/>
  <c r="K42" i="1"/>
  <c r="E34" i="1"/>
  <c r="F34" i="1"/>
  <c r="G34" i="1"/>
  <c r="H34" i="1"/>
  <c r="G28" i="1"/>
  <c r="H28" i="1"/>
  <c r="E26" i="1"/>
  <c r="F26" i="1"/>
  <c r="G26" i="1"/>
  <c r="H26" i="1"/>
  <c r="E21" i="1"/>
  <c r="F21" i="1"/>
  <c r="G21" i="1"/>
  <c r="G46" i="1"/>
  <c r="K46" i="1"/>
  <c r="G41" i="1"/>
  <c r="H41" i="1"/>
  <c r="E39" i="1"/>
  <c r="F39" i="1"/>
  <c r="G39" i="1"/>
  <c r="H39" i="1"/>
  <c r="G33" i="1"/>
  <c r="H33" i="1"/>
  <c r="E31" i="1"/>
  <c r="F31" i="1"/>
  <c r="G31" i="1"/>
  <c r="H31" i="1"/>
  <c r="G25" i="1"/>
  <c r="H25" i="1"/>
  <c r="E23" i="1"/>
  <c r="F23" i="1"/>
  <c r="G23" i="1"/>
  <c r="H23" i="1"/>
  <c r="E44" i="1"/>
  <c r="F44" i="1"/>
  <c r="G44" i="1"/>
  <c r="K44" i="1"/>
  <c r="E36" i="1"/>
  <c r="F36" i="1"/>
  <c r="G36" i="1"/>
  <c r="H36" i="1"/>
  <c r="G30" i="1"/>
  <c r="H30" i="1"/>
  <c r="E28" i="1"/>
  <c r="F28" i="1"/>
  <c r="G22" i="1"/>
  <c r="H22" i="1"/>
  <c r="E30" i="2"/>
  <c r="E11" i="2"/>
  <c r="E29" i="2"/>
  <c r="E13" i="2"/>
  <c r="E31" i="2"/>
  <c r="E24" i="2"/>
  <c r="E32" i="2"/>
  <c r="E21" i="2"/>
  <c r="E33" i="2"/>
  <c r="E17" i="2"/>
  <c r="E16" i="2"/>
  <c r="E28" i="2"/>
  <c r="E25" i="2"/>
  <c r="E14" i="2"/>
  <c r="E19" i="2"/>
  <c r="E20" i="2"/>
  <c r="H21" i="1"/>
  <c r="E27" i="2"/>
  <c r="E12" i="2"/>
  <c r="E15" i="2"/>
  <c r="C11" i="1"/>
  <c r="C12" i="1"/>
  <c r="C16" i="1" l="1"/>
  <c r="D18" i="1" s="1"/>
  <c r="O46" i="1"/>
  <c r="O32" i="1"/>
  <c r="O44" i="1"/>
  <c r="O25" i="1"/>
  <c r="O27" i="1"/>
  <c r="O43" i="1"/>
  <c r="O24" i="1"/>
  <c r="O39" i="1"/>
  <c r="C15" i="1"/>
  <c r="F18" i="1" s="1"/>
  <c r="O37" i="1"/>
  <c r="O45" i="1"/>
  <c r="O40" i="1"/>
  <c r="O33" i="1"/>
  <c r="O28" i="1"/>
  <c r="O30" i="1"/>
  <c r="O29" i="1"/>
  <c r="O34" i="1"/>
  <c r="O23" i="1"/>
  <c r="O35" i="1"/>
  <c r="O36" i="1"/>
  <c r="O38" i="1"/>
  <c r="O41" i="1"/>
  <c r="O42" i="1"/>
  <c r="O31" i="1"/>
  <c r="O26" i="1"/>
  <c r="O22" i="1"/>
  <c r="O21" i="1"/>
  <c r="C18" i="1" l="1"/>
  <c r="F19" i="1"/>
</calcChain>
</file>

<file path=xl/sharedStrings.xml><?xml version="1.0" encoding="utf-8"?>
<sst xmlns="http://schemas.openxmlformats.org/spreadsheetml/2006/main" count="272" uniqueCount="143">
  <si>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</si>
  <si>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</si>
  <si>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</si>
  <si>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</si>
  <si>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</si>
  <si>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</si>
  <si>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</si>
  <si>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</si>
  <si>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</si>
  <si>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</si>
  <si>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</si>
  <si>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</si>
  <si>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</si>
  <si>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</si>
  <si>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</si>
  <si>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</si>
  <si>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</si>
  <si>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</si>
  <si>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</si>
  <si>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</si>
  <si>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</si>
  <si>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</si>
  <si>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</si>
  <si>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</si>
  <si>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</si>
  <si>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</si>
  <si>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</si>
  <si>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</si>
  <si>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</si>
  <si>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</si>
  <si>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</si>
  <si>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</si>
  <si>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</si>
  <si>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</si>
  <si>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</si>
  <si>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</si>
  <si>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TY Tri / GSC2312-0190               </t>
  </si>
  <si>
    <t>E</t>
  </si>
  <si>
    <t>IBVS 4887</t>
  </si>
  <si>
    <t>IBVS 5543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</si>
  <si>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</si>
  <si>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</si>
  <si>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</si>
  <si>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</si>
  <si>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</si>
  <si>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</si>
  <si>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</si>
  <si>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</si>
  <si>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</si>
  <si>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</si>
  <si>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2435778.476 </t>
  </si>
  <si>
    <t> 31.10.1956 23:25 </t>
  </si>
  <si>
    <t> -0.187 </t>
  </si>
  <si>
    <t>P </t>
  </si>
  <si>
    <t> L.Meinunger </t>
  </si>
  <si>
    <t> MVS 11.10 </t>
  </si>
  <si>
    <t>2436461.506 </t>
  </si>
  <si>
    <t> 15.09.1958 00:08 </t>
  </si>
  <si>
    <t> -0.115 </t>
  </si>
  <si>
    <t>2437935.517 </t>
  </si>
  <si>
    <t> 28.09.1962 00:24 </t>
  </si>
  <si>
    <t> -0.211 </t>
  </si>
  <si>
    <t>2438672.621 </t>
  </si>
  <si>
    <t> 04.10.1964 02:54 </t>
  </si>
  <si>
    <t> -0.161 </t>
  </si>
  <si>
    <t>2439389.495 </t>
  </si>
  <si>
    <t> 20.09.1966 23:52 </t>
  </si>
  <si>
    <t> -0.055 </t>
  </si>
  <si>
    <t>2439531.339 </t>
  </si>
  <si>
    <t> 09.02.1967 20:08 </t>
  </si>
  <si>
    <t> -0.212 </t>
  </si>
  <si>
    <t>2440187.432 </t>
  </si>
  <si>
    <t> 26.11.1968 22:22 </t>
  </si>
  <si>
    <t> -0.029 </t>
  </si>
  <si>
    <t>2443135.396 </t>
  </si>
  <si>
    <t> 22.12.1976 21:30 </t>
  </si>
  <si>
    <t> -0.279 </t>
  </si>
  <si>
    <t>V </t>
  </si>
  <si>
    <t> R.Diethelm </t>
  </si>
  <si>
    <t> BBS 31 </t>
  </si>
  <si>
    <t>2443188.404 </t>
  </si>
  <si>
    <t> 13.02.1977 21:41 </t>
  </si>
  <si>
    <t> -1.367 </t>
  </si>
  <si>
    <t> BBS 32 </t>
  </si>
  <si>
    <t>2443429.329 </t>
  </si>
  <si>
    <t> 12.10.1977 19:53 </t>
  </si>
  <si>
    <t> -0.492 </t>
  </si>
  <si>
    <t> BBS 35 </t>
  </si>
  <si>
    <t>2443432.489 </t>
  </si>
  <si>
    <t> 15.10.1977 23:44 </t>
  </si>
  <si>
    <t> -0.713 </t>
  </si>
  <si>
    <t>2443510.350 </t>
  </si>
  <si>
    <t> 01.01.1978 20:24 </t>
  </si>
  <si>
    <t> -0.614 </t>
  </si>
  <si>
    <t> BBS 36 </t>
  </si>
  <si>
    <t>2443791.490 </t>
  </si>
  <si>
    <t> 09.10.1978 23:45 </t>
  </si>
  <si>
    <t> -0.096 </t>
  </si>
  <si>
    <t>2443868.449 </t>
  </si>
  <si>
    <t> 25.12.1978 22:46 </t>
  </si>
  <si>
    <t> -0.899 </t>
  </si>
  <si>
    <t> BBS 41 </t>
  </si>
  <si>
    <t>2444136.506 </t>
  </si>
  <si>
    <t> 20.09.1979 00:08 </t>
  </si>
  <si>
    <t> 0.061 </t>
  </si>
  <si>
    <t>2444633.339 </t>
  </si>
  <si>
    <t> 28.01.1981 20:08 </t>
  </si>
  <si>
    <t> -0.111 </t>
  </si>
  <si>
    <t>2444846.487 </t>
  </si>
  <si>
    <t> 29.08.1981 23:41 </t>
  </si>
  <si>
    <t> 0.036 </t>
  </si>
  <si>
    <t>2445671.400 </t>
  </si>
  <si>
    <t> 02.12.1983 21:36 </t>
  </si>
  <si>
    <t> -0.010 </t>
  </si>
  <si>
    <t>2448288.329 </t>
  </si>
  <si>
    <t> 31.01.1991 19:53 </t>
  </si>
  <si>
    <t> 0.040 </t>
  </si>
  <si>
    <t> A.Dedoch </t>
  </si>
  <si>
    <t> BRNO 31 </t>
  </si>
  <si>
    <t>2449309.367 </t>
  </si>
  <si>
    <t> 17.11.1993 20:48 </t>
  </si>
  <si>
    <t> 0.022 </t>
  </si>
  <si>
    <t> J.Vandenbroere </t>
  </si>
  <si>
    <t> BBS 107 </t>
  </si>
  <si>
    <t>2450012.591 </t>
  </si>
  <si>
    <t> 22.10.1995 02:11 </t>
  </si>
  <si>
    <t> 0.002 </t>
  </si>
  <si>
    <t> BBS 111 </t>
  </si>
  <si>
    <t>2450773.3337 </t>
  </si>
  <si>
    <t> 20.11.1997 20:00 </t>
  </si>
  <si>
    <t> 0.0245 </t>
  </si>
  <si>
    <t>E </t>
  </si>
  <si>
    <t>?</t>
  </si>
  <si>
    <t> J.Safar </t>
  </si>
  <si>
    <t>IBVS 4887 </t>
  </si>
  <si>
    <t>2451138.406 </t>
  </si>
  <si>
    <t> 20.11.1998 21:44 </t>
  </si>
  <si>
    <t> -0.049 </t>
  </si>
  <si>
    <t> BBS 130 </t>
  </si>
  <si>
    <t>2451432.550 </t>
  </si>
  <si>
    <t> 11.09.1999 01:12 </t>
  </si>
  <si>
    <t> -0.050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</si>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</sst>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19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Tri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-0.18692000000010012</c:v>
                </c:pt>
                <c:pt idx="1">
                  <c:v>-0.11487999999371823</c:v>
                </c:pt>
                <c:pt idx="2">
                  <c:v>-0.21115999999892665</c:v>
                </c:pt>
                <c:pt idx="3">
                  <c:v>-0.16079999999783468</c:v>
                </c:pt>
                <c:pt idx="4">
                  <c:v>-5.4559999996854458E-2</c:v>
                </c:pt>
                <c:pt idx="5">
                  <c:v>-0.21171999999933178</c:v>
                </c:pt>
                <c:pt idx="6">
                  <c:v>-2.8839999999036081E-2</c:v>
                </c:pt>
                <c:pt idx="7">
                  <c:v>-0.27939999999944121</c:v>
                </c:pt>
                <c:pt idx="8">
                  <c:v>0.32341000000451459</c:v>
                </c:pt>
                <c:pt idx="9">
                  <c:v>-0.49165999999968335</c:v>
                </c:pt>
                <c:pt idx="10">
                  <c:v>-0.71263999999791849</c:v>
                </c:pt>
                <c:pt idx="11">
                  <c:v>-0.6141799999968498</c:v>
                </c:pt>
                <c:pt idx="12">
                  <c:v>-9.5519999995303806E-2</c:v>
                </c:pt>
                <c:pt idx="13">
                  <c:v>0.79143000000476604</c:v>
                </c:pt>
                <c:pt idx="14">
                  <c:v>6.0520000006363261E-2</c:v>
                </c:pt>
                <c:pt idx="15">
                  <c:v>-0.11054000000149244</c:v>
                </c:pt>
                <c:pt idx="16">
                  <c:v>3.5720000007131603E-2</c:v>
                </c:pt>
                <c:pt idx="17">
                  <c:v>-1.0399999999208376E-2</c:v>
                </c:pt>
                <c:pt idx="18">
                  <c:v>4.0079999998852145E-2</c:v>
                </c:pt>
                <c:pt idx="19">
                  <c:v>2.2120000001450535E-2</c:v>
                </c:pt>
                <c:pt idx="20">
                  <c:v>2.2800000006100163E-3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E5-4193-B21C-DD7F8CF701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E5-4193-B21C-DD7F8CF701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E5-4193-B21C-DD7F8CF701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1">
                  <c:v>2.4480000007315539E-2</c:v>
                </c:pt>
                <c:pt idx="22">
                  <c:v>-4.905999999755295E-2</c:v>
                </c:pt>
                <c:pt idx="23">
                  <c:v>-5.0319999994826503E-2</c:v>
                </c:pt>
                <c:pt idx="25">
                  <c:v>6.7719999999098945E-2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E5-4193-B21C-DD7F8CF701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E5-4193-B21C-DD7F8CF701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E5-4193-B21C-DD7F8CF701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1">
                    <c:v>2.0999999999999999E-3</c:v>
                  </c:pt>
                  <c:pt idx="22">
                    <c:v>1.0999999999999999E-2</c:v>
                  </c:pt>
                  <c:pt idx="23">
                    <c:v>7.0000000000000001E-3</c:v>
                  </c:pt>
                  <c:pt idx="25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E5-4193-B21C-DD7F8CF701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-4946</c:v>
                </c:pt>
                <c:pt idx="1">
                  <c:v>-4744</c:v>
                </c:pt>
                <c:pt idx="2">
                  <c:v>-4308</c:v>
                </c:pt>
                <c:pt idx="3">
                  <c:v>-4090</c:v>
                </c:pt>
                <c:pt idx="4">
                  <c:v>-3878</c:v>
                </c:pt>
                <c:pt idx="5">
                  <c:v>-3836</c:v>
                </c:pt>
                <c:pt idx="6">
                  <c:v>-3642</c:v>
                </c:pt>
                <c:pt idx="7">
                  <c:v>-2770</c:v>
                </c:pt>
                <c:pt idx="8">
                  <c:v>-2754.5</c:v>
                </c:pt>
                <c:pt idx="9">
                  <c:v>-2683</c:v>
                </c:pt>
                <c:pt idx="10">
                  <c:v>-2682</c:v>
                </c:pt>
                <c:pt idx="11">
                  <c:v>-2659</c:v>
                </c:pt>
                <c:pt idx="12">
                  <c:v>-2576</c:v>
                </c:pt>
                <c:pt idx="13">
                  <c:v>-2553.5</c:v>
                </c:pt>
                <c:pt idx="14">
                  <c:v>-2474</c:v>
                </c:pt>
                <c:pt idx="15">
                  <c:v>-2327</c:v>
                </c:pt>
                <c:pt idx="16">
                  <c:v>-2264</c:v>
                </c:pt>
                <c:pt idx="17">
                  <c:v>-2020</c:v>
                </c:pt>
                <c:pt idx="18">
                  <c:v>-1246</c:v>
                </c:pt>
                <c:pt idx="19">
                  <c:v>-944</c:v>
                </c:pt>
                <c:pt idx="20">
                  <c:v>-736</c:v>
                </c:pt>
                <c:pt idx="21">
                  <c:v>-511</c:v>
                </c:pt>
                <c:pt idx="22">
                  <c:v>-403</c:v>
                </c:pt>
                <c:pt idx="23">
                  <c:v>-316</c:v>
                </c:pt>
                <c:pt idx="24">
                  <c:v>0</c:v>
                </c:pt>
                <c:pt idx="25">
                  <c:v>1413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-0.18556603702827165</c:v>
                </c:pt>
                <c:pt idx="1">
                  <c:v>-0.1772975997342558</c:v>
                </c:pt>
                <c:pt idx="2">
                  <c:v>-0.15945087369370675</c:v>
                </c:pt>
                <c:pt idx="3">
                  <c:v>-0.15052751067343223</c:v>
                </c:pt>
                <c:pt idx="4">
                  <c:v>-0.14184974480050472</c:v>
                </c:pt>
                <c:pt idx="5">
                  <c:v>-0.14013056476907568</c:v>
                </c:pt>
                <c:pt idx="6">
                  <c:v>-0.13218959033818917</c:v>
                </c:pt>
                <c:pt idx="7">
                  <c:v>-9.6496138257091094E-2</c:v>
                </c:pt>
                <c:pt idx="8">
                  <c:v>-9.5861678959777985E-2</c:v>
                </c:pt>
                <c:pt idx="9">
                  <c:v>-9.2934979620559507E-2</c:v>
                </c:pt>
                <c:pt idx="10">
                  <c:v>-9.2894046762668339E-2</c:v>
                </c:pt>
                <c:pt idx="11">
                  <c:v>-9.1952591031171496E-2</c:v>
                </c:pt>
                <c:pt idx="12">
                  <c:v>-8.8555163826204583E-2</c:v>
                </c:pt>
                <c:pt idx="13">
                  <c:v>-8.763417452365331E-2</c:v>
                </c:pt>
                <c:pt idx="14">
                  <c:v>-8.43800123213055E-2</c:v>
                </c:pt>
                <c:pt idx="15">
                  <c:v>-7.8362882211303872E-2</c:v>
                </c:pt>
                <c:pt idx="16">
                  <c:v>-7.5784112164160311E-2</c:v>
                </c:pt>
                <c:pt idx="17">
                  <c:v>-6.5796494838715441E-2</c:v>
                </c:pt>
                <c:pt idx="18">
                  <c:v>-3.4114462830951764E-2</c:v>
                </c:pt>
                <c:pt idx="19">
                  <c:v>-2.1752739747819168E-2</c:v>
                </c:pt>
                <c:pt idx="20">
                  <c:v>-1.3238705306456319E-2</c:v>
                </c:pt>
                <c:pt idx="21">
                  <c:v>-4.0288122809436222E-3</c:v>
                </c:pt>
                <c:pt idx="22">
                  <c:v>3.9193637130247039E-4</c:v>
                </c:pt>
                <c:pt idx="23">
                  <c:v>3.9530950078340461E-3</c:v>
                </c:pt>
                <c:pt idx="24">
                  <c:v>1.6887878101442988E-2</c:v>
                </c:pt>
                <c:pt idx="25">
                  <c:v>7.4726006301662706E-2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E5-4193-B21C-DD7F8CF70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13616"/>
        <c:axId val="1"/>
      </c:scatterChart>
      <c:valAx>
        <c:axId val="328513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13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17</xdr:col>
      <xdr:colOff>304800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C9EF93D-10D7-9BB7-441D-810682D58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4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s="30" customFormat="1" ht="20.25" x14ac:dyDescent="0.2">
      <c r="A1" s="57" t="s">
        <v>36</v>
      </c>
    </row>
    <row r="2" spans="1:5" s="30" customFormat="1" ht="12.95" customHeight="1" x14ac:dyDescent="0.2">
      <c r="A2" s="30" t="s">
        <v>22</v>
      </c>
      <c r="B2" s="30" t="s">
        <v>37</v>
      </c>
      <c r="C2" s="31"/>
      <c r="D2" s="31"/>
    </row>
    <row r="3" spans="1:5" s="30" customFormat="1" ht="12.95" customHeight="1" thickBot="1" x14ac:dyDescent="0.25"/>
    <row r="4" spans="1:5" s="30" customFormat="1" ht="12.95" customHeight="1" thickTop="1" thickBot="1" x14ac:dyDescent="0.25">
      <c r="A4" s="32" t="s">
        <v>35</v>
      </c>
      <c r="C4" s="33">
        <v>52500.99</v>
      </c>
      <c r="D4" s="34">
        <v>3.3809800000000001</v>
      </c>
    </row>
    <row r="5" spans="1:5" s="30" customFormat="1" ht="12.95" customHeight="1" thickTop="1" x14ac:dyDescent="0.2">
      <c r="A5" s="35" t="s">
        <v>27</v>
      </c>
      <c r="C5" s="36">
        <v>-9.5</v>
      </c>
      <c r="D5" s="30" t="s">
        <v>28</v>
      </c>
    </row>
    <row r="6" spans="1:5" s="30" customFormat="1" ht="12.95" customHeight="1" x14ac:dyDescent="0.2">
      <c r="A6" s="32" t="s">
        <v>0</v>
      </c>
    </row>
    <row r="7" spans="1:5" s="30" customFormat="1" ht="12.95" customHeight="1" x14ac:dyDescent="0.2">
      <c r="A7" s="30" t="s">
        <v>1</v>
      </c>
      <c r="C7" s="30">
        <f>C4</f>
        <v>52500.99</v>
      </c>
    </row>
    <row r="8" spans="1:5" s="30" customFormat="1" ht="12.95" customHeight="1" x14ac:dyDescent="0.2">
      <c r="A8" s="30" t="s">
        <v>2</v>
      </c>
      <c r="C8" s="30">
        <f>D4</f>
        <v>3.3809800000000001</v>
      </c>
      <c r="D8" s="36"/>
    </row>
    <row r="9" spans="1:5" s="30" customFormat="1" ht="12.95" customHeight="1" x14ac:dyDescent="0.2">
      <c r="A9" s="37" t="s">
        <v>32</v>
      </c>
      <c r="B9" s="38">
        <v>21</v>
      </c>
      <c r="C9" s="39" t="str">
        <f>"F"&amp;B9</f>
        <v>F21</v>
      </c>
      <c r="D9" s="40" t="str">
        <f>"G"&amp;B9</f>
        <v>G21</v>
      </c>
    </row>
    <row r="10" spans="1:5" s="30" customFormat="1" ht="12.95" customHeight="1" thickBot="1" x14ac:dyDescent="0.25">
      <c r="C10" s="41" t="s">
        <v>18</v>
      </c>
      <c r="D10" s="41" t="s">
        <v>19</v>
      </c>
    </row>
    <row r="11" spans="1:5" s="30" customFormat="1" ht="12.95" customHeight="1" x14ac:dyDescent="0.2">
      <c r="A11" s="30" t="s">
        <v>14</v>
      </c>
      <c r="C11" s="40">
        <f ca="1">INTERCEPT(INDIRECT($D$9):G975,INDIRECT($C$9):F975)</f>
        <v>1.6887878101442988E-2</v>
      </c>
      <c r="D11" s="31"/>
    </row>
    <row r="12" spans="1:5" s="30" customFormat="1" ht="12.95" customHeight="1" x14ac:dyDescent="0.2">
      <c r="A12" s="30" t="s">
        <v>15</v>
      </c>
      <c r="C12" s="40">
        <f ca="1">SLOPE(INDIRECT($D$9):G975,INDIRECT($C$9):F975)</f>
        <v>4.0932857891167536E-5</v>
      </c>
      <c r="D12" s="31"/>
    </row>
    <row r="13" spans="1:5" s="30" customFormat="1" ht="12.95" customHeight="1" x14ac:dyDescent="0.2">
      <c r="A13" s="30" t="s">
        <v>17</v>
      </c>
      <c r="C13" s="31" t="s">
        <v>12</v>
      </c>
    </row>
    <row r="14" spans="1:5" s="30" customFormat="1" ht="12.95" customHeight="1" x14ac:dyDescent="0.2"/>
    <row r="15" spans="1:5" s="30" customFormat="1" ht="12.95" customHeight="1" x14ac:dyDescent="0.2">
      <c r="A15" s="42" t="s">
        <v>16</v>
      </c>
      <c r="C15" s="43">
        <f ca="1">(C7+C11)+(C8+C12)*INT(MAX(F21:F3516))</f>
        <v>57278.389466006302</v>
      </c>
      <c r="E15" s="31"/>
    </row>
    <row r="16" spans="1:5" s="30" customFormat="1" ht="12.95" customHeight="1" x14ac:dyDescent="0.2">
      <c r="A16" s="32" t="s">
        <v>3</v>
      </c>
      <c r="C16" s="44">
        <f ca="1">+C8+C12</f>
        <v>3.3810209328578913</v>
      </c>
    </row>
    <row r="17" spans="1:17" s="30" customFormat="1" ht="12.95" customHeight="1" thickBot="1" x14ac:dyDescent="0.25">
      <c r="A17" s="45" t="s">
        <v>26</v>
      </c>
      <c r="C17" s="30">
        <f>COUNT(C21:C2174)</f>
        <v>26</v>
      </c>
      <c r="E17" s="45" t="s">
        <v>29</v>
      </c>
      <c r="F17" s="46">
        <f ca="1">TODAY()+15018.5-B5/24</f>
        <v>60378.5</v>
      </c>
    </row>
    <row r="18" spans="1:17" s="30" customFormat="1" ht="12.95" customHeight="1" thickTop="1" thickBot="1" x14ac:dyDescent="0.25">
      <c r="A18" s="32" t="s">
        <v>4</v>
      </c>
      <c r="C18" s="47">
        <f ca="1">+C15</f>
        <v>57278.389466006302</v>
      </c>
      <c r="D18" s="48">
        <f ca="1">+C16</f>
        <v>3.3810209328578913</v>
      </c>
      <c r="E18" s="45" t="s">
        <v>30</v>
      </c>
      <c r="F18" s="46">
        <f ca="1">ROUND(2*(F17-C15)/C16,0)/2+1</f>
        <v>918</v>
      </c>
    </row>
    <row r="19" spans="1:17" s="30" customFormat="1" ht="12.95" customHeight="1" thickTop="1" x14ac:dyDescent="0.2">
      <c r="E19" s="45" t="s">
        <v>31</v>
      </c>
      <c r="F19" s="49">
        <f ca="1">+C15+C16*F18-15018.5-C5/24</f>
        <v>45364.062515703183</v>
      </c>
    </row>
    <row r="20" spans="1:17" s="30" customFormat="1" ht="12.95" customHeight="1" thickBot="1" x14ac:dyDescent="0.25">
      <c r="A20" s="41" t="s">
        <v>5</v>
      </c>
      <c r="B20" s="41" t="s">
        <v>6</v>
      </c>
      <c r="C20" s="41" t="s">
        <v>7</v>
      </c>
      <c r="D20" s="41" t="s">
        <v>11</v>
      </c>
      <c r="E20" s="41" t="s">
        <v>8</v>
      </c>
      <c r="F20" s="41" t="s">
        <v>9</v>
      </c>
      <c r="G20" s="41" t="s">
        <v>10</v>
      </c>
      <c r="H20" s="50" t="s">
        <v>46</v>
      </c>
      <c r="I20" s="50" t="s">
        <v>49</v>
      </c>
      <c r="J20" s="50" t="s">
        <v>43</v>
      </c>
      <c r="K20" s="50" t="s">
        <v>42</v>
      </c>
      <c r="L20" s="50" t="s">
        <v>23</v>
      </c>
      <c r="M20" s="50" t="s">
        <v>24</v>
      </c>
      <c r="N20" s="50" t="s">
        <v>25</v>
      </c>
      <c r="O20" s="50" t="s">
        <v>21</v>
      </c>
      <c r="P20" s="51" t="s">
        <v>20</v>
      </c>
      <c r="Q20" s="41" t="s">
        <v>13</v>
      </c>
    </row>
    <row r="21" spans="1:17" s="30" customFormat="1" ht="12.95" customHeight="1" x14ac:dyDescent="0.2">
      <c r="A21" s="52" t="s">
        <v>55</v>
      </c>
      <c r="B21" s="53" t="s">
        <v>33</v>
      </c>
      <c r="C21" s="54">
        <v>35778.476000000002</v>
      </c>
      <c r="D21" s="55"/>
      <c r="E21" s="30">
        <f t="shared" ref="E21:E45" si="0">+(C21-C$7)/C$8</f>
        <v>-4946.0552857455514</v>
      </c>
      <c r="F21" s="30">
        <f t="shared" ref="F21:F46" si="1">ROUND(2*E21,0)/2</f>
        <v>-4946</v>
      </c>
      <c r="G21" s="30">
        <f t="shared" ref="G21:G45" si="2">+C21-(C$7+F21*C$8)</f>
        <v>-0.18692000000010012</v>
      </c>
      <c r="H21" s="30">
        <f t="shared" ref="H21:H41" si="3">+G21</f>
        <v>-0.18692000000010012</v>
      </c>
      <c r="O21" s="30">
        <f t="shared" ref="O21:O45" ca="1" si="4">+C$11+C$12*$F21</f>
        <v>-0.18556603702827165</v>
      </c>
      <c r="Q21" s="56">
        <f t="shared" ref="Q21:Q45" si="5">+C21-15018.5</f>
        <v>20759.976000000002</v>
      </c>
    </row>
    <row r="22" spans="1:17" s="30" customFormat="1" ht="12.95" customHeight="1" x14ac:dyDescent="0.2">
      <c r="A22" s="52" t="s">
        <v>55</v>
      </c>
      <c r="B22" s="53" t="s">
        <v>33</v>
      </c>
      <c r="C22" s="54">
        <v>36461.506000000001</v>
      </c>
      <c r="D22" s="55"/>
      <c r="E22" s="30">
        <f t="shared" si="0"/>
        <v>-4744.0339783139789</v>
      </c>
      <c r="F22" s="30">
        <f t="shared" si="1"/>
        <v>-4744</v>
      </c>
      <c r="G22" s="30">
        <f t="shared" si="2"/>
        <v>-0.11487999999371823</v>
      </c>
      <c r="H22" s="30">
        <f t="shared" si="3"/>
        <v>-0.11487999999371823</v>
      </c>
      <c r="O22" s="30">
        <f t="shared" ca="1" si="4"/>
        <v>-0.1772975997342558</v>
      </c>
      <c r="Q22" s="56">
        <f t="shared" si="5"/>
        <v>21443.006000000001</v>
      </c>
    </row>
    <row r="23" spans="1:17" s="30" customFormat="1" ht="12.95" customHeight="1" x14ac:dyDescent="0.2">
      <c r="A23" s="52" t="s">
        <v>55</v>
      </c>
      <c r="B23" s="53" t="s">
        <v>33</v>
      </c>
      <c r="C23" s="54">
        <v>37935.517</v>
      </c>
      <c r="D23" s="55"/>
      <c r="E23" s="30">
        <f t="shared" si="0"/>
        <v>-4308.0624552644495</v>
      </c>
      <c r="F23" s="30">
        <f t="shared" si="1"/>
        <v>-4308</v>
      </c>
      <c r="G23" s="30">
        <f t="shared" si="2"/>
        <v>-0.21115999999892665</v>
      </c>
      <c r="H23" s="30">
        <f t="shared" si="3"/>
        <v>-0.21115999999892665</v>
      </c>
      <c r="O23" s="30">
        <f t="shared" ca="1" si="4"/>
        <v>-0.15945087369370675</v>
      </c>
      <c r="Q23" s="56">
        <f t="shared" si="5"/>
        <v>22917.017</v>
      </c>
    </row>
    <row r="24" spans="1:17" s="30" customFormat="1" ht="12.95" customHeight="1" x14ac:dyDescent="0.2">
      <c r="A24" s="52" t="s">
        <v>55</v>
      </c>
      <c r="B24" s="53" t="s">
        <v>33</v>
      </c>
      <c r="C24" s="54">
        <v>38672.620999999999</v>
      </c>
      <c r="D24" s="55"/>
      <c r="E24" s="30">
        <f t="shared" si="0"/>
        <v>-4090.0475601748599</v>
      </c>
      <c r="F24" s="30">
        <f t="shared" si="1"/>
        <v>-4090</v>
      </c>
      <c r="G24" s="30">
        <f t="shared" si="2"/>
        <v>-0.16079999999783468</v>
      </c>
      <c r="H24" s="30">
        <f t="shared" si="3"/>
        <v>-0.16079999999783468</v>
      </c>
      <c r="O24" s="30">
        <f t="shared" ca="1" si="4"/>
        <v>-0.15052751067343223</v>
      </c>
      <c r="Q24" s="56">
        <f t="shared" si="5"/>
        <v>23654.120999999999</v>
      </c>
    </row>
    <row r="25" spans="1:17" s="30" customFormat="1" ht="12.95" customHeight="1" x14ac:dyDescent="0.2">
      <c r="A25" s="52" t="s">
        <v>55</v>
      </c>
      <c r="B25" s="53" t="s">
        <v>33</v>
      </c>
      <c r="C25" s="54">
        <v>39389.495000000003</v>
      </c>
      <c r="D25" s="55"/>
      <c r="E25" s="30">
        <f t="shared" si="0"/>
        <v>-3878.0161373329611</v>
      </c>
      <c r="F25" s="30">
        <f t="shared" si="1"/>
        <v>-3878</v>
      </c>
      <c r="G25" s="30">
        <f t="shared" si="2"/>
        <v>-5.4559999996854458E-2</v>
      </c>
      <c r="H25" s="30">
        <f t="shared" si="3"/>
        <v>-5.4559999996854458E-2</v>
      </c>
      <c r="O25" s="30">
        <f t="shared" ca="1" si="4"/>
        <v>-0.14184974480050472</v>
      </c>
      <c r="Q25" s="56">
        <f t="shared" si="5"/>
        <v>24370.995000000003</v>
      </c>
    </row>
    <row r="26" spans="1:17" x14ac:dyDescent="0.2">
      <c r="A26" s="21" t="s">
        <v>55</v>
      </c>
      <c r="B26" s="23" t="s">
        <v>33</v>
      </c>
      <c r="C26" s="22">
        <v>39531.339</v>
      </c>
      <c r="D26" s="3"/>
      <c r="E26">
        <f t="shared" si="0"/>
        <v>-3836.0626208968988</v>
      </c>
      <c r="F26">
        <f t="shared" si="1"/>
        <v>-3836</v>
      </c>
      <c r="G26">
        <f t="shared" si="2"/>
        <v>-0.21171999999933178</v>
      </c>
      <c r="H26">
        <f t="shared" si="3"/>
        <v>-0.21171999999933178</v>
      </c>
      <c r="O26">
        <f t="shared" ca="1" si="4"/>
        <v>-0.14013056476907568</v>
      </c>
      <c r="Q26" s="1">
        <f t="shared" si="5"/>
        <v>24512.839</v>
      </c>
    </row>
    <row r="27" spans="1:17" x14ac:dyDescent="0.2">
      <c r="A27" s="21" t="s">
        <v>55</v>
      </c>
      <c r="B27" s="23" t="s">
        <v>33</v>
      </c>
      <c r="C27" s="22">
        <v>40187.432000000001</v>
      </c>
      <c r="D27" s="3"/>
      <c r="E27">
        <f t="shared" si="0"/>
        <v>-3642.0085300711621</v>
      </c>
      <c r="F27">
        <f t="shared" si="1"/>
        <v>-3642</v>
      </c>
      <c r="G27">
        <f t="shared" si="2"/>
        <v>-2.8839999999036081E-2</v>
      </c>
      <c r="H27">
        <f t="shared" si="3"/>
        <v>-2.8839999999036081E-2</v>
      </c>
      <c r="O27">
        <f t="shared" ca="1" si="4"/>
        <v>-0.13218959033818917</v>
      </c>
      <c r="Q27" s="1">
        <f t="shared" si="5"/>
        <v>25168.932000000001</v>
      </c>
    </row>
    <row r="28" spans="1:17" x14ac:dyDescent="0.2">
      <c r="A28" s="21" t="s">
        <v>79</v>
      </c>
      <c r="B28" s="23" t="s">
        <v>33</v>
      </c>
      <c r="C28" s="22">
        <v>43135.396000000001</v>
      </c>
      <c r="D28" s="3"/>
      <c r="E28">
        <f t="shared" si="0"/>
        <v>-2770.0826387615416</v>
      </c>
      <c r="F28">
        <f t="shared" si="1"/>
        <v>-2770</v>
      </c>
      <c r="G28">
        <f t="shared" si="2"/>
        <v>-0.27939999999944121</v>
      </c>
      <c r="H28">
        <f t="shared" si="3"/>
        <v>-0.27939999999944121</v>
      </c>
      <c r="O28">
        <f t="shared" ca="1" si="4"/>
        <v>-9.6496138257091094E-2</v>
      </c>
      <c r="Q28" s="1">
        <f t="shared" si="5"/>
        <v>28116.896000000001</v>
      </c>
    </row>
    <row r="29" spans="1:17" x14ac:dyDescent="0.2">
      <c r="A29" s="21" t="s">
        <v>83</v>
      </c>
      <c r="B29" s="23" t="s">
        <v>33</v>
      </c>
      <c r="C29" s="22">
        <v>43188.404000000002</v>
      </c>
      <c r="D29" s="3"/>
      <c r="E29">
        <f t="shared" si="0"/>
        <v>-2754.404344302538</v>
      </c>
      <c r="F29">
        <f t="shared" si="1"/>
        <v>-2754.5</v>
      </c>
      <c r="G29">
        <f t="shared" si="2"/>
        <v>0.32341000000451459</v>
      </c>
      <c r="H29">
        <f t="shared" si="3"/>
        <v>0.32341000000451459</v>
      </c>
      <c r="O29">
        <f t="shared" ca="1" si="4"/>
        <v>-9.5861678959777985E-2</v>
      </c>
      <c r="Q29" s="1">
        <f t="shared" si="5"/>
        <v>28169.904000000002</v>
      </c>
    </row>
    <row r="30" spans="1:17" x14ac:dyDescent="0.2">
      <c r="A30" s="21" t="s">
        <v>87</v>
      </c>
      <c r="B30" s="23" t="s">
        <v>33</v>
      </c>
      <c r="C30" s="22">
        <v>43429.328999999998</v>
      </c>
      <c r="D30" s="3"/>
      <c r="E30">
        <f t="shared" si="0"/>
        <v>-2683.1454193754471</v>
      </c>
      <c r="F30">
        <f t="shared" si="1"/>
        <v>-2683</v>
      </c>
      <c r="G30">
        <f t="shared" si="2"/>
        <v>-0.49165999999968335</v>
      </c>
      <c r="H30">
        <f t="shared" si="3"/>
        <v>-0.49165999999968335</v>
      </c>
      <c r="O30">
        <f t="shared" ca="1" si="4"/>
        <v>-9.2934979620559507E-2</v>
      </c>
      <c r="Q30" s="1">
        <f t="shared" si="5"/>
        <v>28410.828999999998</v>
      </c>
    </row>
    <row r="31" spans="1:17" x14ac:dyDescent="0.2">
      <c r="A31" s="21" t="s">
        <v>87</v>
      </c>
      <c r="B31" s="23" t="s">
        <v>33</v>
      </c>
      <c r="C31" s="22">
        <v>43432.489000000001</v>
      </c>
      <c r="D31" s="3"/>
      <c r="E31">
        <f t="shared" si="0"/>
        <v>-2682.2107791232115</v>
      </c>
      <c r="F31">
        <f t="shared" si="1"/>
        <v>-2682</v>
      </c>
      <c r="G31">
        <f t="shared" si="2"/>
        <v>-0.71263999999791849</v>
      </c>
      <c r="H31">
        <f t="shared" si="3"/>
        <v>-0.71263999999791849</v>
      </c>
      <c r="O31">
        <f t="shared" ca="1" si="4"/>
        <v>-9.2894046762668339E-2</v>
      </c>
      <c r="Q31" s="1">
        <f t="shared" si="5"/>
        <v>28413.989000000001</v>
      </c>
    </row>
    <row r="32" spans="1:17" x14ac:dyDescent="0.2">
      <c r="A32" s="21" t="s">
        <v>94</v>
      </c>
      <c r="B32" s="23" t="s">
        <v>33</v>
      </c>
      <c r="C32" s="22">
        <v>43510.35</v>
      </c>
      <c r="D32" s="3"/>
      <c r="E32">
        <f t="shared" si="0"/>
        <v>-2659.1816573892775</v>
      </c>
      <c r="F32">
        <f t="shared" si="1"/>
        <v>-2659</v>
      </c>
      <c r="G32">
        <f t="shared" si="2"/>
        <v>-0.6141799999968498</v>
      </c>
      <c r="H32">
        <f t="shared" si="3"/>
        <v>-0.6141799999968498</v>
      </c>
      <c r="O32">
        <f t="shared" ca="1" si="4"/>
        <v>-9.1952591031171496E-2</v>
      </c>
      <c r="Q32" s="1">
        <f t="shared" si="5"/>
        <v>28491.85</v>
      </c>
    </row>
    <row r="33" spans="1:17" x14ac:dyDescent="0.2">
      <c r="A33" s="21" t="s">
        <v>55</v>
      </c>
      <c r="B33" s="23" t="s">
        <v>33</v>
      </c>
      <c r="C33" s="22">
        <v>43791.49</v>
      </c>
      <c r="D33" s="3"/>
      <c r="E33">
        <f t="shared" si="0"/>
        <v>-2576.0282521635736</v>
      </c>
      <c r="F33">
        <f t="shared" si="1"/>
        <v>-2576</v>
      </c>
      <c r="G33">
        <f t="shared" si="2"/>
        <v>-9.5519999995303806E-2</v>
      </c>
      <c r="H33">
        <f t="shared" si="3"/>
        <v>-9.5519999995303806E-2</v>
      </c>
      <c r="O33">
        <f t="shared" ca="1" si="4"/>
        <v>-8.8555163826204583E-2</v>
      </c>
      <c r="Q33" s="1">
        <f t="shared" si="5"/>
        <v>28772.989999999998</v>
      </c>
    </row>
    <row r="34" spans="1:17" x14ac:dyDescent="0.2">
      <c r="A34" s="21" t="s">
        <v>101</v>
      </c>
      <c r="B34" s="23" t="s">
        <v>33</v>
      </c>
      <c r="C34" s="22">
        <v>43868.449000000001</v>
      </c>
      <c r="D34" s="3"/>
      <c r="E34">
        <f t="shared" si="0"/>
        <v>-2553.2659169826493</v>
      </c>
      <c r="F34">
        <f t="shared" si="1"/>
        <v>-2553.5</v>
      </c>
      <c r="G34">
        <f t="shared" si="2"/>
        <v>0.79143000000476604</v>
      </c>
      <c r="H34">
        <f t="shared" si="3"/>
        <v>0.79143000000476604</v>
      </c>
      <c r="O34">
        <f t="shared" ca="1" si="4"/>
        <v>-8.763417452365331E-2</v>
      </c>
      <c r="Q34" s="1">
        <f t="shared" si="5"/>
        <v>28849.949000000001</v>
      </c>
    </row>
    <row r="35" spans="1:17" x14ac:dyDescent="0.2">
      <c r="A35" s="21" t="s">
        <v>55</v>
      </c>
      <c r="B35" s="23" t="s">
        <v>33</v>
      </c>
      <c r="C35" s="22">
        <v>44136.506000000001</v>
      </c>
      <c r="D35" s="3"/>
      <c r="E35">
        <f t="shared" si="0"/>
        <v>-2473.9820998645355</v>
      </c>
      <c r="F35">
        <f t="shared" si="1"/>
        <v>-2474</v>
      </c>
      <c r="G35">
        <f t="shared" si="2"/>
        <v>6.0520000006363261E-2</v>
      </c>
      <c r="H35">
        <f t="shared" si="3"/>
        <v>6.0520000006363261E-2</v>
      </c>
      <c r="O35">
        <f t="shared" ca="1" si="4"/>
        <v>-8.43800123213055E-2</v>
      </c>
      <c r="Q35" s="1">
        <f t="shared" si="5"/>
        <v>29118.006000000001</v>
      </c>
    </row>
    <row r="36" spans="1:17" x14ac:dyDescent="0.2">
      <c r="A36" s="21" t="s">
        <v>55</v>
      </c>
      <c r="B36" s="23" t="s">
        <v>33</v>
      </c>
      <c r="C36" s="22">
        <v>44633.339</v>
      </c>
      <c r="D36" s="3"/>
      <c r="E36">
        <f t="shared" si="0"/>
        <v>-2327.0326946624937</v>
      </c>
      <c r="F36">
        <f t="shared" si="1"/>
        <v>-2327</v>
      </c>
      <c r="G36">
        <f t="shared" si="2"/>
        <v>-0.11054000000149244</v>
      </c>
      <c r="H36">
        <f t="shared" si="3"/>
        <v>-0.11054000000149244</v>
      </c>
      <c r="O36">
        <f t="shared" ca="1" si="4"/>
        <v>-7.8362882211303872E-2</v>
      </c>
      <c r="Q36" s="1">
        <f t="shared" si="5"/>
        <v>29614.839</v>
      </c>
    </row>
    <row r="37" spans="1:17" x14ac:dyDescent="0.2">
      <c r="A37" s="21" t="s">
        <v>55</v>
      </c>
      <c r="B37" s="23" t="s">
        <v>33</v>
      </c>
      <c r="C37" s="22">
        <v>44846.487000000001</v>
      </c>
      <c r="D37" s="3"/>
      <c r="E37">
        <f t="shared" si="0"/>
        <v>-2263.989435015882</v>
      </c>
      <c r="F37">
        <f t="shared" si="1"/>
        <v>-2264</v>
      </c>
      <c r="G37">
        <f t="shared" si="2"/>
        <v>3.5720000007131603E-2</v>
      </c>
      <c r="H37">
        <f t="shared" si="3"/>
        <v>3.5720000007131603E-2</v>
      </c>
      <c r="O37">
        <f t="shared" ca="1" si="4"/>
        <v>-7.5784112164160311E-2</v>
      </c>
      <c r="Q37" s="1">
        <f t="shared" si="5"/>
        <v>29827.987000000001</v>
      </c>
    </row>
    <row r="38" spans="1:17" x14ac:dyDescent="0.2">
      <c r="A38" s="21" t="s">
        <v>55</v>
      </c>
      <c r="B38" s="23" t="s">
        <v>33</v>
      </c>
      <c r="C38" s="22">
        <v>45671.4</v>
      </c>
      <c r="D38" s="3"/>
      <c r="E38">
        <f t="shared" si="0"/>
        <v>-2020.0030760312088</v>
      </c>
      <c r="F38">
        <f t="shared" si="1"/>
        <v>-2020</v>
      </c>
      <c r="G38">
        <f t="shared" si="2"/>
        <v>-1.0399999999208376E-2</v>
      </c>
      <c r="H38">
        <f t="shared" si="3"/>
        <v>-1.0399999999208376E-2</v>
      </c>
      <c r="O38">
        <f t="shared" ca="1" si="4"/>
        <v>-6.5796494838715441E-2</v>
      </c>
      <c r="Q38" s="1">
        <f t="shared" si="5"/>
        <v>30652.9</v>
      </c>
    </row>
    <row r="39" spans="1:17" x14ac:dyDescent="0.2">
      <c r="A39" s="21" t="s">
        <v>118</v>
      </c>
      <c r="B39" s="23" t="s">
        <v>33</v>
      </c>
      <c r="C39" s="22">
        <v>48288.328999999998</v>
      </c>
      <c r="D39" s="3"/>
      <c r="E39">
        <f t="shared" si="0"/>
        <v>-1245.9881454489528</v>
      </c>
      <c r="F39">
        <f t="shared" si="1"/>
        <v>-1246</v>
      </c>
      <c r="G39">
        <f t="shared" si="2"/>
        <v>4.0079999998852145E-2</v>
      </c>
      <c r="H39">
        <f t="shared" si="3"/>
        <v>4.0079999998852145E-2</v>
      </c>
      <c r="O39">
        <f t="shared" ca="1" si="4"/>
        <v>-3.4114462830951764E-2</v>
      </c>
      <c r="Q39" s="1">
        <f t="shared" si="5"/>
        <v>33269.828999999998</v>
      </c>
    </row>
    <row r="40" spans="1:17" x14ac:dyDescent="0.2">
      <c r="A40" s="21" t="s">
        <v>123</v>
      </c>
      <c r="B40" s="23" t="s">
        <v>33</v>
      </c>
      <c r="C40" s="22">
        <v>49309.366999999998</v>
      </c>
      <c r="D40" s="3"/>
      <c r="E40">
        <f t="shared" si="0"/>
        <v>-943.99345751823421</v>
      </c>
      <c r="F40">
        <f t="shared" si="1"/>
        <v>-944</v>
      </c>
      <c r="G40">
        <f t="shared" si="2"/>
        <v>2.2120000001450535E-2</v>
      </c>
      <c r="H40">
        <f t="shared" si="3"/>
        <v>2.2120000001450535E-2</v>
      </c>
      <c r="O40">
        <f t="shared" ca="1" si="4"/>
        <v>-2.1752739747819168E-2</v>
      </c>
      <c r="Q40" s="1">
        <f t="shared" si="5"/>
        <v>34290.866999999998</v>
      </c>
    </row>
    <row r="41" spans="1:17" x14ac:dyDescent="0.2">
      <c r="A41" s="21" t="s">
        <v>127</v>
      </c>
      <c r="B41" s="23" t="s">
        <v>33</v>
      </c>
      <c r="C41" s="22">
        <v>50012.591</v>
      </c>
      <c r="D41" s="3"/>
      <c r="E41">
        <f t="shared" si="0"/>
        <v>-735.999325639311</v>
      </c>
      <c r="F41">
        <f t="shared" si="1"/>
        <v>-736</v>
      </c>
      <c r="G41">
        <f t="shared" si="2"/>
        <v>2.2800000006100163E-3</v>
      </c>
      <c r="H41">
        <f t="shared" si="3"/>
        <v>2.2800000006100163E-3</v>
      </c>
      <c r="O41">
        <f t="shared" ca="1" si="4"/>
        <v>-1.3238705306456319E-2</v>
      </c>
      <c r="Q41" s="1">
        <f t="shared" si="5"/>
        <v>34994.091</v>
      </c>
    </row>
    <row r="42" spans="1:17" x14ac:dyDescent="0.2">
      <c r="A42" s="7" t="s">
        <v>38</v>
      </c>
      <c r="B42" s="6"/>
      <c r="C42" s="7">
        <v>50773.333700000003</v>
      </c>
      <c r="D42" s="7">
        <v>2.0999999999999999E-3</v>
      </c>
      <c r="E42">
        <f t="shared" si="0"/>
        <v>-510.99275949576605</v>
      </c>
      <c r="F42">
        <f t="shared" si="1"/>
        <v>-511</v>
      </c>
      <c r="G42">
        <f t="shared" si="2"/>
        <v>2.4480000007315539E-2</v>
      </c>
      <c r="K42">
        <f>+G42</f>
        <v>2.4480000007315539E-2</v>
      </c>
      <c r="O42">
        <f t="shared" ca="1" si="4"/>
        <v>-4.0288122809436222E-3</v>
      </c>
      <c r="Q42" s="1">
        <f t="shared" si="5"/>
        <v>35754.833700000003</v>
      </c>
    </row>
    <row r="43" spans="1:17" x14ac:dyDescent="0.2">
      <c r="A43" s="25" t="s">
        <v>39</v>
      </c>
      <c r="B43" s="24" t="s">
        <v>33</v>
      </c>
      <c r="C43" s="25">
        <v>51138.406000000003</v>
      </c>
      <c r="D43" s="26">
        <v>1.0999999999999999E-2</v>
      </c>
      <c r="E43">
        <f t="shared" si="0"/>
        <v>-403.01451058568676</v>
      </c>
      <c r="F43">
        <f t="shared" si="1"/>
        <v>-403</v>
      </c>
      <c r="G43">
        <f t="shared" si="2"/>
        <v>-4.905999999755295E-2</v>
      </c>
      <c r="K43">
        <f>+G43</f>
        <v>-4.905999999755295E-2</v>
      </c>
      <c r="O43">
        <f t="shared" ca="1" si="4"/>
        <v>3.9193637130247039E-4</v>
      </c>
      <c r="Q43" s="1">
        <f t="shared" si="5"/>
        <v>36119.906000000003</v>
      </c>
    </row>
    <row r="44" spans="1:17" x14ac:dyDescent="0.2">
      <c r="A44" s="25" t="s">
        <v>39</v>
      </c>
      <c r="B44" s="24" t="s">
        <v>33</v>
      </c>
      <c r="C44" s="25">
        <v>51432.55</v>
      </c>
      <c r="D44" s="26">
        <v>7.0000000000000001E-3</v>
      </c>
      <c r="E44">
        <f t="shared" si="0"/>
        <v>-316.01488325869866</v>
      </c>
      <c r="F44">
        <f t="shared" si="1"/>
        <v>-316</v>
      </c>
      <c r="G44">
        <f t="shared" si="2"/>
        <v>-5.0319999994826503E-2</v>
      </c>
      <c r="K44">
        <f>+G44</f>
        <v>-5.0319999994826503E-2</v>
      </c>
      <c r="O44">
        <f t="shared" ca="1" si="4"/>
        <v>3.9530950078340461E-3</v>
      </c>
      <c r="Q44" s="1">
        <f t="shared" si="5"/>
        <v>36414.050000000003</v>
      </c>
    </row>
    <row r="45" spans="1:17" x14ac:dyDescent="0.2">
      <c r="A45" s="7" t="s">
        <v>34</v>
      </c>
      <c r="B45" s="6" t="s">
        <v>33</v>
      </c>
      <c r="C45" s="7">
        <v>52500.99</v>
      </c>
      <c r="D45" s="5"/>
      <c r="E45">
        <f t="shared" si="0"/>
        <v>0</v>
      </c>
      <c r="F45">
        <f t="shared" si="1"/>
        <v>0</v>
      </c>
      <c r="G45">
        <f t="shared" si="2"/>
        <v>0</v>
      </c>
      <c r="I45">
        <f>+G45</f>
        <v>0</v>
      </c>
      <c r="O45">
        <f t="shared" ca="1" si="4"/>
        <v>1.6887878101442988E-2</v>
      </c>
      <c r="Q45" s="1">
        <f t="shared" si="5"/>
        <v>37482.49</v>
      </c>
    </row>
    <row r="46" spans="1:17" x14ac:dyDescent="0.2">
      <c r="A46" s="27" t="s">
        <v>142</v>
      </c>
      <c r="B46" s="28" t="s">
        <v>33</v>
      </c>
      <c r="C46" s="29">
        <v>57278.382460000001</v>
      </c>
      <c r="D46" s="29">
        <v>2.3E-3</v>
      </c>
      <c r="E46">
        <f>+(C46-C$7)/C$8</f>
        <v>1413.0200296955329</v>
      </c>
      <c r="F46">
        <f t="shared" si="1"/>
        <v>1413</v>
      </c>
      <c r="G46">
        <f>+C46-(C$7+F46*C$8)</f>
        <v>6.7719999999098945E-2</v>
      </c>
      <c r="K46">
        <f>+G46</f>
        <v>6.7719999999098945E-2</v>
      </c>
      <c r="O46">
        <f ca="1">+C$11+C$12*$F46</f>
        <v>7.4726006301662706E-2</v>
      </c>
      <c r="Q46" s="1">
        <f>+C46-15018.5</f>
        <v>42259.882460000001</v>
      </c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2"/>
  <sheetViews>
    <sheetView topLeftCell="A5" workbookViewId="0">
      <selection activeCell="A14" sqref="A14:C34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40</v>
      </c>
      <c r="I1" s="9" t="s">
        <v>41</v>
      </c>
      <c r="J1" s="10" t="s">
        <v>42</v>
      </c>
    </row>
    <row r="2" spans="1:16" x14ac:dyDescent="0.2">
      <c r="I2" s="11" t="s">
        <v>37</v>
      </c>
      <c r="J2" s="12" t="s">
        <v>43</v>
      </c>
    </row>
    <row r="3" spans="1:16" x14ac:dyDescent="0.2">
      <c r="A3" s="13" t="s">
        <v>44</v>
      </c>
      <c r="I3" s="11" t="s">
        <v>45</v>
      </c>
      <c r="J3" s="12" t="s">
        <v>46</v>
      </c>
    </row>
    <row r="4" spans="1:16" x14ac:dyDescent="0.2">
      <c r="I4" s="11" t="s">
        <v>47</v>
      </c>
      <c r="J4" s="12" t="s">
        <v>46</v>
      </c>
    </row>
    <row r="5" spans="1:16" ht="13.5" thickBot="1" x14ac:dyDescent="0.25">
      <c r="I5" s="14" t="s">
        <v>48</v>
      </c>
      <c r="J5" s="15" t="s">
        <v>49</v>
      </c>
    </row>
    <row r="10" spans="1:16" ht="13.5" thickBot="1" x14ac:dyDescent="0.25"/>
    <row r="11" spans="1:16" ht="12.75" customHeight="1" thickBot="1" x14ac:dyDescent="0.25">
      <c r="A11" s="3" t="str">
        <f t="shared" ref="A11:A34" si="0">P11</f>
        <v>IBVS 4887 </v>
      </c>
      <c r="B11" s="2" t="str">
        <f t="shared" ref="B11:B34" si="1">IF(H11=INT(H11),"I","II")</f>
        <v>I</v>
      </c>
      <c r="C11" s="3">
        <f t="shared" ref="C11:C34" si="2">1*G11</f>
        <v>50773.333700000003</v>
      </c>
      <c r="D11" s="4" t="str">
        <f t="shared" ref="D11:D34" si="3">VLOOKUP(F11,I$1:J$5,2,FALSE)</f>
        <v>vis</v>
      </c>
      <c r="E11" s="16">
        <f>VLOOKUP(C11,Active!C$21:E$973,3,FALSE)</f>
        <v>-510.99275949576605</v>
      </c>
      <c r="F11" s="2" t="s">
        <v>48</v>
      </c>
      <c r="G11" s="4" t="str">
        <f t="shared" ref="G11:G34" si="4">MID(I11,3,LEN(I11)-3)</f>
        <v>50773.3337</v>
      </c>
      <c r="H11" s="3">
        <f t="shared" ref="H11:H34" si="5">1*K11</f>
        <v>-511</v>
      </c>
      <c r="I11" s="17" t="s">
        <v>128</v>
      </c>
      <c r="J11" s="18" t="s">
        <v>129</v>
      </c>
      <c r="K11" s="17">
        <v>-511</v>
      </c>
      <c r="L11" s="17" t="s">
        <v>130</v>
      </c>
      <c r="M11" s="18" t="s">
        <v>131</v>
      </c>
      <c r="N11" s="18" t="s">
        <v>132</v>
      </c>
      <c r="O11" s="19" t="s">
        <v>133</v>
      </c>
      <c r="P11" s="20" t="s">
        <v>134</v>
      </c>
    </row>
    <row r="12" spans="1:16" ht="12.75" customHeight="1" thickBot="1" x14ac:dyDescent="0.25">
      <c r="A12" s="3" t="str">
        <f t="shared" si="0"/>
        <v> BBS 130 </v>
      </c>
      <c r="B12" s="2" t="str">
        <f t="shared" si="1"/>
        <v>I</v>
      </c>
      <c r="C12" s="3">
        <f t="shared" si="2"/>
        <v>51138.406000000003</v>
      </c>
      <c r="D12" s="4" t="str">
        <f t="shared" si="3"/>
        <v>vis</v>
      </c>
      <c r="E12" s="16">
        <f>VLOOKUP(C12,Active!C$21:E$973,3,FALSE)</f>
        <v>-403.01451058568676</v>
      </c>
      <c r="F12" s="2" t="s">
        <v>48</v>
      </c>
      <c r="G12" s="4" t="str">
        <f t="shared" si="4"/>
        <v>51138.406</v>
      </c>
      <c r="H12" s="3">
        <f t="shared" si="5"/>
        <v>-403</v>
      </c>
      <c r="I12" s="17" t="s">
        <v>135</v>
      </c>
      <c r="J12" s="18" t="s">
        <v>136</v>
      </c>
      <c r="K12" s="17">
        <v>-403</v>
      </c>
      <c r="L12" s="17" t="s">
        <v>137</v>
      </c>
      <c r="M12" s="18" t="s">
        <v>77</v>
      </c>
      <c r="N12" s="18"/>
      <c r="O12" s="19" t="s">
        <v>122</v>
      </c>
      <c r="P12" s="19" t="s">
        <v>138</v>
      </c>
    </row>
    <row r="13" spans="1:16" ht="12.75" customHeight="1" thickBot="1" x14ac:dyDescent="0.25">
      <c r="A13" s="3" t="str">
        <f t="shared" si="0"/>
        <v> BBS 130 </v>
      </c>
      <c r="B13" s="2" t="str">
        <f t="shared" si="1"/>
        <v>I</v>
      </c>
      <c r="C13" s="3">
        <f t="shared" si="2"/>
        <v>51432.55</v>
      </c>
      <c r="D13" s="4" t="str">
        <f t="shared" si="3"/>
        <v>vis</v>
      </c>
      <c r="E13" s="16">
        <f>VLOOKUP(C13,Active!C$21:E$973,3,FALSE)</f>
        <v>-316.01488325869866</v>
      </c>
      <c r="F13" s="2" t="s">
        <v>48</v>
      </c>
      <c r="G13" s="4" t="str">
        <f t="shared" si="4"/>
        <v>51432.550</v>
      </c>
      <c r="H13" s="3">
        <f t="shared" si="5"/>
        <v>-316</v>
      </c>
      <c r="I13" s="17" t="s">
        <v>139</v>
      </c>
      <c r="J13" s="18" t="s">
        <v>140</v>
      </c>
      <c r="K13" s="17">
        <v>-316</v>
      </c>
      <c r="L13" s="17" t="s">
        <v>141</v>
      </c>
      <c r="M13" s="18" t="s">
        <v>77</v>
      </c>
      <c r="N13" s="18"/>
      <c r="O13" s="19" t="s">
        <v>122</v>
      </c>
      <c r="P13" s="19" t="s">
        <v>138</v>
      </c>
    </row>
    <row r="14" spans="1:16" ht="12.75" customHeight="1" thickBot="1" x14ac:dyDescent="0.25">
      <c r="A14" s="3" t="str">
        <f t="shared" si="0"/>
        <v> MVS 11.10 </v>
      </c>
      <c r="B14" s="2" t="str">
        <f t="shared" si="1"/>
        <v>I</v>
      </c>
      <c r="C14" s="3">
        <f t="shared" si="2"/>
        <v>35778.476000000002</v>
      </c>
      <c r="D14" s="4" t="str">
        <f t="shared" si="3"/>
        <v>vis</v>
      </c>
      <c r="E14" s="16">
        <f>VLOOKUP(C14,Active!C$21:E$973,3,FALSE)</f>
        <v>-4946.0552857455514</v>
      </c>
      <c r="F14" s="2" t="s">
        <v>48</v>
      </c>
      <c r="G14" s="4" t="str">
        <f t="shared" si="4"/>
        <v>35778.476</v>
      </c>
      <c r="H14" s="3">
        <f t="shared" si="5"/>
        <v>-4946</v>
      </c>
      <c r="I14" s="17" t="s">
        <v>50</v>
      </c>
      <c r="J14" s="18" t="s">
        <v>51</v>
      </c>
      <c r="K14" s="17">
        <v>-4946</v>
      </c>
      <c r="L14" s="17" t="s">
        <v>52</v>
      </c>
      <c r="M14" s="18" t="s">
        <v>53</v>
      </c>
      <c r="N14" s="18"/>
      <c r="O14" s="19" t="s">
        <v>54</v>
      </c>
      <c r="P14" s="19" t="s">
        <v>55</v>
      </c>
    </row>
    <row r="15" spans="1:16" ht="12.75" customHeight="1" thickBot="1" x14ac:dyDescent="0.25">
      <c r="A15" s="3" t="str">
        <f t="shared" si="0"/>
        <v> MVS 11.10 </v>
      </c>
      <c r="B15" s="2" t="str">
        <f t="shared" si="1"/>
        <v>I</v>
      </c>
      <c r="C15" s="3">
        <f t="shared" si="2"/>
        <v>36461.506000000001</v>
      </c>
      <c r="D15" s="4" t="str">
        <f t="shared" si="3"/>
        <v>vis</v>
      </c>
      <c r="E15" s="16">
        <f>VLOOKUP(C15,Active!C$21:E$973,3,FALSE)</f>
        <v>-4744.0339783139789</v>
      </c>
      <c r="F15" s="2" t="s">
        <v>48</v>
      </c>
      <c r="G15" s="4" t="str">
        <f t="shared" si="4"/>
        <v>36461.506</v>
      </c>
      <c r="H15" s="3">
        <f t="shared" si="5"/>
        <v>-4744</v>
      </c>
      <c r="I15" s="17" t="s">
        <v>56</v>
      </c>
      <c r="J15" s="18" t="s">
        <v>57</v>
      </c>
      <c r="K15" s="17">
        <v>-4744</v>
      </c>
      <c r="L15" s="17" t="s">
        <v>58</v>
      </c>
      <c r="M15" s="18" t="s">
        <v>53</v>
      </c>
      <c r="N15" s="18"/>
      <c r="O15" s="19" t="s">
        <v>54</v>
      </c>
      <c r="P15" s="19" t="s">
        <v>55</v>
      </c>
    </row>
    <row r="16" spans="1:16" ht="12.75" customHeight="1" thickBot="1" x14ac:dyDescent="0.25">
      <c r="A16" s="3" t="str">
        <f t="shared" si="0"/>
        <v> MVS 11.10 </v>
      </c>
      <c r="B16" s="2" t="str">
        <f t="shared" si="1"/>
        <v>I</v>
      </c>
      <c r="C16" s="3">
        <f t="shared" si="2"/>
        <v>37935.517</v>
      </c>
      <c r="D16" s="4" t="str">
        <f t="shared" si="3"/>
        <v>vis</v>
      </c>
      <c r="E16" s="16">
        <f>VLOOKUP(C16,Active!C$21:E$973,3,FALSE)</f>
        <v>-4308.0624552644495</v>
      </c>
      <c r="F16" s="2" t="s">
        <v>48</v>
      </c>
      <c r="G16" s="4" t="str">
        <f t="shared" si="4"/>
        <v>37935.517</v>
      </c>
      <c r="H16" s="3">
        <f t="shared" si="5"/>
        <v>-4308</v>
      </c>
      <c r="I16" s="17" t="s">
        <v>59</v>
      </c>
      <c r="J16" s="18" t="s">
        <v>60</v>
      </c>
      <c r="K16" s="17">
        <v>-4308</v>
      </c>
      <c r="L16" s="17" t="s">
        <v>61</v>
      </c>
      <c r="M16" s="18" t="s">
        <v>53</v>
      </c>
      <c r="N16" s="18"/>
      <c r="O16" s="19" t="s">
        <v>54</v>
      </c>
      <c r="P16" s="19" t="s">
        <v>55</v>
      </c>
    </row>
    <row r="17" spans="1:16" ht="12.75" customHeight="1" thickBot="1" x14ac:dyDescent="0.25">
      <c r="A17" s="3" t="str">
        <f t="shared" si="0"/>
        <v> MVS 11.10 </v>
      </c>
      <c r="B17" s="2" t="str">
        <f t="shared" si="1"/>
        <v>I</v>
      </c>
      <c r="C17" s="3">
        <f t="shared" si="2"/>
        <v>38672.620999999999</v>
      </c>
      <c r="D17" s="4" t="str">
        <f t="shared" si="3"/>
        <v>vis</v>
      </c>
      <c r="E17" s="16">
        <f>VLOOKUP(C17,Active!C$21:E$973,3,FALSE)</f>
        <v>-4090.0475601748599</v>
      </c>
      <c r="F17" s="2" t="s">
        <v>48</v>
      </c>
      <c r="G17" s="4" t="str">
        <f t="shared" si="4"/>
        <v>38672.621</v>
      </c>
      <c r="H17" s="3">
        <f t="shared" si="5"/>
        <v>-4090</v>
      </c>
      <c r="I17" s="17" t="s">
        <v>62</v>
      </c>
      <c r="J17" s="18" t="s">
        <v>63</v>
      </c>
      <c r="K17" s="17">
        <v>-4090</v>
      </c>
      <c r="L17" s="17" t="s">
        <v>64</v>
      </c>
      <c r="M17" s="18" t="s">
        <v>53</v>
      </c>
      <c r="N17" s="18"/>
      <c r="O17" s="19" t="s">
        <v>54</v>
      </c>
      <c r="P17" s="19" t="s">
        <v>55</v>
      </c>
    </row>
    <row r="18" spans="1:16" ht="12.75" customHeight="1" thickBot="1" x14ac:dyDescent="0.25">
      <c r="A18" s="3" t="str">
        <f t="shared" si="0"/>
        <v> MVS 11.10 </v>
      </c>
      <c r="B18" s="2" t="str">
        <f t="shared" si="1"/>
        <v>I</v>
      </c>
      <c r="C18" s="3">
        <f t="shared" si="2"/>
        <v>39389.495000000003</v>
      </c>
      <c r="D18" s="4" t="str">
        <f t="shared" si="3"/>
        <v>vis</v>
      </c>
      <c r="E18" s="16">
        <f>VLOOKUP(C18,Active!C$21:E$973,3,FALSE)</f>
        <v>-3878.0161373329611</v>
      </c>
      <c r="F18" s="2" t="s">
        <v>48</v>
      </c>
      <c r="G18" s="4" t="str">
        <f t="shared" si="4"/>
        <v>39389.495</v>
      </c>
      <c r="H18" s="3">
        <f t="shared" si="5"/>
        <v>-3878</v>
      </c>
      <c r="I18" s="17" t="s">
        <v>65</v>
      </c>
      <c r="J18" s="18" t="s">
        <v>66</v>
      </c>
      <c r="K18" s="17">
        <v>-3878</v>
      </c>
      <c r="L18" s="17" t="s">
        <v>67</v>
      </c>
      <c r="M18" s="18" t="s">
        <v>53</v>
      </c>
      <c r="N18" s="18"/>
      <c r="O18" s="19" t="s">
        <v>54</v>
      </c>
      <c r="P18" s="19" t="s">
        <v>55</v>
      </c>
    </row>
    <row r="19" spans="1:16" ht="12.75" customHeight="1" thickBot="1" x14ac:dyDescent="0.25">
      <c r="A19" s="3" t="str">
        <f t="shared" si="0"/>
        <v> MVS 11.10 </v>
      </c>
      <c r="B19" s="2" t="str">
        <f t="shared" si="1"/>
        <v>I</v>
      </c>
      <c r="C19" s="3">
        <f t="shared" si="2"/>
        <v>39531.339</v>
      </c>
      <c r="D19" s="4" t="str">
        <f t="shared" si="3"/>
        <v>vis</v>
      </c>
      <c r="E19" s="16">
        <f>VLOOKUP(C19,Active!C$21:E$973,3,FALSE)</f>
        <v>-3836.0626208968988</v>
      </c>
      <c r="F19" s="2" t="s">
        <v>48</v>
      </c>
      <c r="G19" s="4" t="str">
        <f t="shared" si="4"/>
        <v>39531.339</v>
      </c>
      <c r="H19" s="3">
        <f t="shared" si="5"/>
        <v>-3836</v>
      </c>
      <c r="I19" s="17" t="s">
        <v>68</v>
      </c>
      <c r="J19" s="18" t="s">
        <v>69</v>
      </c>
      <c r="K19" s="17">
        <v>-3836</v>
      </c>
      <c r="L19" s="17" t="s">
        <v>70</v>
      </c>
      <c r="M19" s="18" t="s">
        <v>53</v>
      </c>
      <c r="N19" s="18"/>
      <c r="O19" s="19" t="s">
        <v>54</v>
      </c>
      <c r="P19" s="19" t="s">
        <v>55</v>
      </c>
    </row>
    <row r="20" spans="1:16" ht="12.75" customHeight="1" thickBot="1" x14ac:dyDescent="0.25">
      <c r="A20" s="3" t="str">
        <f t="shared" si="0"/>
        <v> MVS 11.10 </v>
      </c>
      <c r="B20" s="2" t="str">
        <f t="shared" si="1"/>
        <v>I</v>
      </c>
      <c r="C20" s="3">
        <f t="shared" si="2"/>
        <v>40187.432000000001</v>
      </c>
      <c r="D20" s="4" t="str">
        <f t="shared" si="3"/>
        <v>vis</v>
      </c>
      <c r="E20" s="16">
        <f>VLOOKUP(C20,Active!C$21:E$973,3,FALSE)</f>
        <v>-3642.0085300711621</v>
      </c>
      <c r="F20" s="2" t="s">
        <v>48</v>
      </c>
      <c r="G20" s="4" t="str">
        <f t="shared" si="4"/>
        <v>40187.432</v>
      </c>
      <c r="H20" s="3">
        <f t="shared" si="5"/>
        <v>-3642</v>
      </c>
      <c r="I20" s="17" t="s">
        <v>71</v>
      </c>
      <c r="J20" s="18" t="s">
        <v>72</v>
      </c>
      <c r="K20" s="17">
        <v>-3642</v>
      </c>
      <c r="L20" s="17" t="s">
        <v>73</v>
      </c>
      <c r="M20" s="18" t="s">
        <v>53</v>
      </c>
      <c r="N20" s="18"/>
      <c r="O20" s="19" t="s">
        <v>54</v>
      </c>
      <c r="P20" s="19" t="s">
        <v>55</v>
      </c>
    </row>
    <row r="21" spans="1:16" ht="12.75" customHeight="1" thickBot="1" x14ac:dyDescent="0.25">
      <c r="A21" s="3" t="str">
        <f t="shared" si="0"/>
        <v> BBS 31 </v>
      </c>
      <c r="B21" s="2" t="str">
        <f t="shared" si="1"/>
        <v>I</v>
      </c>
      <c r="C21" s="3">
        <f t="shared" si="2"/>
        <v>43135.396000000001</v>
      </c>
      <c r="D21" s="4" t="str">
        <f t="shared" si="3"/>
        <v>vis</v>
      </c>
      <c r="E21" s="16">
        <f>VLOOKUP(C21,Active!C$21:E$973,3,FALSE)</f>
        <v>-2770.0826387615416</v>
      </c>
      <c r="F21" s="2" t="s">
        <v>48</v>
      </c>
      <c r="G21" s="4" t="str">
        <f t="shared" si="4"/>
        <v>43135.396</v>
      </c>
      <c r="H21" s="3">
        <f t="shared" si="5"/>
        <v>-2770</v>
      </c>
      <c r="I21" s="17" t="s">
        <v>74</v>
      </c>
      <c r="J21" s="18" t="s">
        <v>75</v>
      </c>
      <c r="K21" s="17">
        <v>-2770</v>
      </c>
      <c r="L21" s="17" t="s">
        <v>76</v>
      </c>
      <c r="M21" s="18" t="s">
        <v>77</v>
      </c>
      <c r="N21" s="18"/>
      <c r="O21" s="19" t="s">
        <v>78</v>
      </c>
      <c r="P21" s="19" t="s">
        <v>79</v>
      </c>
    </row>
    <row r="22" spans="1:16" ht="12.75" customHeight="1" thickBot="1" x14ac:dyDescent="0.25">
      <c r="A22" s="3" t="str">
        <f t="shared" si="0"/>
        <v> BBS 32 </v>
      </c>
      <c r="B22" s="2" t="str">
        <f t="shared" si="1"/>
        <v>I</v>
      </c>
      <c r="C22" s="3">
        <f t="shared" si="2"/>
        <v>43188.404000000002</v>
      </c>
      <c r="D22" s="4" t="str">
        <f t="shared" si="3"/>
        <v>vis</v>
      </c>
      <c r="E22" s="16">
        <f>VLOOKUP(C22,Active!C$21:E$973,3,FALSE)</f>
        <v>-2754.404344302538</v>
      </c>
      <c r="F22" s="2" t="s">
        <v>48</v>
      </c>
      <c r="G22" s="4" t="str">
        <f t="shared" si="4"/>
        <v>43188.404</v>
      </c>
      <c r="H22" s="3">
        <f t="shared" si="5"/>
        <v>-2754</v>
      </c>
      <c r="I22" s="17" t="s">
        <v>80</v>
      </c>
      <c r="J22" s="18" t="s">
        <v>81</v>
      </c>
      <c r="K22" s="17">
        <v>-2754</v>
      </c>
      <c r="L22" s="17" t="s">
        <v>82</v>
      </c>
      <c r="M22" s="18" t="s">
        <v>77</v>
      </c>
      <c r="N22" s="18"/>
      <c r="O22" s="19" t="s">
        <v>78</v>
      </c>
      <c r="P22" s="19" t="s">
        <v>83</v>
      </c>
    </row>
    <row r="23" spans="1:16" ht="12.75" customHeight="1" thickBot="1" x14ac:dyDescent="0.25">
      <c r="A23" s="3" t="str">
        <f t="shared" si="0"/>
        <v> BBS 35 </v>
      </c>
      <c r="B23" s="2" t="str">
        <f t="shared" si="1"/>
        <v>I</v>
      </c>
      <c r="C23" s="3">
        <f t="shared" si="2"/>
        <v>43429.328999999998</v>
      </c>
      <c r="D23" s="4" t="str">
        <f t="shared" si="3"/>
        <v>vis</v>
      </c>
      <c r="E23" s="16">
        <f>VLOOKUP(C23,Active!C$21:E$973,3,FALSE)</f>
        <v>-2683.1454193754471</v>
      </c>
      <c r="F23" s="2" t="s">
        <v>48</v>
      </c>
      <c r="G23" s="4" t="str">
        <f t="shared" si="4"/>
        <v>43429.329</v>
      </c>
      <c r="H23" s="3">
        <f t="shared" si="5"/>
        <v>-2683</v>
      </c>
      <c r="I23" s="17" t="s">
        <v>84</v>
      </c>
      <c r="J23" s="18" t="s">
        <v>85</v>
      </c>
      <c r="K23" s="17">
        <v>-2683</v>
      </c>
      <c r="L23" s="17" t="s">
        <v>86</v>
      </c>
      <c r="M23" s="18" t="s">
        <v>77</v>
      </c>
      <c r="N23" s="18"/>
      <c r="O23" s="19" t="s">
        <v>78</v>
      </c>
      <c r="P23" s="19" t="s">
        <v>87</v>
      </c>
    </row>
    <row r="24" spans="1:16" ht="12.75" customHeight="1" thickBot="1" x14ac:dyDescent="0.25">
      <c r="A24" s="3" t="str">
        <f t="shared" si="0"/>
        <v> BBS 35 </v>
      </c>
      <c r="B24" s="2" t="str">
        <f t="shared" si="1"/>
        <v>I</v>
      </c>
      <c r="C24" s="3">
        <f t="shared" si="2"/>
        <v>43432.489000000001</v>
      </c>
      <c r="D24" s="4" t="str">
        <f t="shared" si="3"/>
        <v>vis</v>
      </c>
      <c r="E24" s="16">
        <f>VLOOKUP(C24,Active!C$21:E$973,3,FALSE)</f>
        <v>-2682.2107791232115</v>
      </c>
      <c r="F24" s="2" t="s">
        <v>48</v>
      </c>
      <c r="G24" s="4" t="str">
        <f t="shared" si="4"/>
        <v>43432.489</v>
      </c>
      <c r="H24" s="3">
        <f t="shared" si="5"/>
        <v>-2682</v>
      </c>
      <c r="I24" s="17" t="s">
        <v>88</v>
      </c>
      <c r="J24" s="18" t="s">
        <v>89</v>
      </c>
      <c r="K24" s="17">
        <v>-2682</v>
      </c>
      <c r="L24" s="17" t="s">
        <v>90</v>
      </c>
      <c r="M24" s="18" t="s">
        <v>77</v>
      </c>
      <c r="N24" s="18"/>
      <c r="O24" s="19" t="s">
        <v>78</v>
      </c>
      <c r="P24" s="19" t="s">
        <v>87</v>
      </c>
    </row>
    <row r="25" spans="1:16" ht="12.75" customHeight="1" thickBot="1" x14ac:dyDescent="0.25">
      <c r="A25" s="3" t="str">
        <f t="shared" si="0"/>
        <v> BBS 36 </v>
      </c>
      <c r="B25" s="2" t="str">
        <f t="shared" si="1"/>
        <v>I</v>
      </c>
      <c r="C25" s="3">
        <f t="shared" si="2"/>
        <v>43510.35</v>
      </c>
      <c r="D25" s="4" t="str">
        <f t="shared" si="3"/>
        <v>vis</v>
      </c>
      <c r="E25" s="16">
        <f>VLOOKUP(C25,Active!C$21:E$973,3,FALSE)</f>
        <v>-2659.1816573892775</v>
      </c>
      <c r="F25" s="2" t="s">
        <v>48</v>
      </c>
      <c r="G25" s="4" t="str">
        <f t="shared" si="4"/>
        <v>43510.350</v>
      </c>
      <c r="H25" s="3">
        <f t="shared" si="5"/>
        <v>-2659</v>
      </c>
      <c r="I25" s="17" t="s">
        <v>91</v>
      </c>
      <c r="J25" s="18" t="s">
        <v>92</v>
      </c>
      <c r="K25" s="17">
        <v>-2659</v>
      </c>
      <c r="L25" s="17" t="s">
        <v>93</v>
      </c>
      <c r="M25" s="18" t="s">
        <v>77</v>
      </c>
      <c r="N25" s="18"/>
      <c r="O25" s="19" t="s">
        <v>78</v>
      </c>
      <c r="P25" s="19" t="s">
        <v>94</v>
      </c>
    </row>
    <row r="26" spans="1:16" ht="12.75" customHeight="1" thickBot="1" x14ac:dyDescent="0.25">
      <c r="A26" s="3" t="str">
        <f t="shared" si="0"/>
        <v> MVS 11.10 </v>
      </c>
      <c r="B26" s="2" t="str">
        <f t="shared" si="1"/>
        <v>I</v>
      </c>
      <c r="C26" s="3">
        <f t="shared" si="2"/>
        <v>43791.49</v>
      </c>
      <c r="D26" s="4" t="str">
        <f t="shared" si="3"/>
        <v>vis</v>
      </c>
      <c r="E26" s="16">
        <f>VLOOKUP(C26,Active!C$21:E$973,3,FALSE)</f>
        <v>-2576.0282521635736</v>
      </c>
      <c r="F26" s="2" t="s">
        <v>48</v>
      </c>
      <c r="G26" s="4" t="str">
        <f t="shared" si="4"/>
        <v>43791.490</v>
      </c>
      <c r="H26" s="3">
        <f t="shared" si="5"/>
        <v>-2576</v>
      </c>
      <c r="I26" s="17" t="s">
        <v>95</v>
      </c>
      <c r="J26" s="18" t="s">
        <v>96</v>
      </c>
      <c r="K26" s="17">
        <v>-2576</v>
      </c>
      <c r="L26" s="17" t="s">
        <v>97</v>
      </c>
      <c r="M26" s="18" t="s">
        <v>53</v>
      </c>
      <c r="N26" s="18"/>
      <c r="O26" s="19" t="s">
        <v>54</v>
      </c>
      <c r="P26" s="19" t="s">
        <v>55</v>
      </c>
    </row>
    <row r="27" spans="1:16" ht="12.75" customHeight="1" thickBot="1" x14ac:dyDescent="0.25">
      <c r="A27" s="3" t="str">
        <f t="shared" si="0"/>
        <v> BBS 41 </v>
      </c>
      <c r="B27" s="2" t="str">
        <f t="shared" si="1"/>
        <v>I</v>
      </c>
      <c r="C27" s="3">
        <f t="shared" si="2"/>
        <v>43868.449000000001</v>
      </c>
      <c r="D27" s="4" t="str">
        <f t="shared" si="3"/>
        <v>vis</v>
      </c>
      <c r="E27" s="16">
        <f>VLOOKUP(C27,Active!C$21:E$973,3,FALSE)</f>
        <v>-2553.2659169826493</v>
      </c>
      <c r="F27" s="2" t="s">
        <v>48</v>
      </c>
      <c r="G27" s="4" t="str">
        <f t="shared" si="4"/>
        <v>43868.449</v>
      </c>
      <c r="H27" s="3">
        <f t="shared" si="5"/>
        <v>-2553</v>
      </c>
      <c r="I27" s="17" t="s">
        <v>98</v>
      </c>
      <c r="J27" s="18" t="s">
        <v>99</v>
      </c>
      <c r="K27" s="17">
        <v>-2553</v>
      </c>
      <c r="L27" s="17" t="s">
        <v>100</v>
      </c>
      <c r="M27" s="18" t="s">
        <v>77</v>
      </c>
      <c r="N27" s="18"/>
      <c r="O27" s="19" t="s">
        <v>78</v>
      </c>
      <c r="P27" s="19" t="s">
        <v>101</v>
      </c>
    </row>
    <row r="28" spans="1:16" ht="12.75" customHeight="1" thickBot="1" x14ac:dyDescent="0.25">
      <c r="A28" s="3" t="str">
        <f t="shared" si="0"/>
        <v> MVS 11.10 </v>
      </c>
      <c r="B28" s="2" t="str">
        <f t="shared" si="1"/>
        <v>I</v>
      </c>
      <c r="C28" s="3">
        <f t="shared" si="2"/>
        <v>44136.506000000001</v>
      </c>
      <c r="D28" s="4" t="str">
        <f t="shared" si="3"/>
        <v>vis</v>
      </c>
      <c r="E28" s="16">
        <f>VLOOKUP(C28,Active!C$21:E$973,3,FALSE)</f>
        <v>-2473.9820998645355</v>
      </c>
      <c r="F28" s="2" t="s">
        <v>48</v>
      </c>
      <c r="G28" s="4" t="str">
        <f t="shared" si="4"/>
        <v>44136.506</v>
      </c>
      <c r="H28" s="3">
        <f t="shared" si="5"/>
        <v>-2474</v>
      </c>
      <c r="I28" s="17" t="s">
        <v>102</v>
      </c>
      <c r="J28" s="18" t="s">
        <v>103</v>
      </c>
      <c r="K28" s="17">
        <v>-2474</v>
      </c>
      <c r="L28" s="17" t="s">
        <v>104</v>
      </c>
      <c r="M28" s="18" t="s">
        <v>53</v>
      </c>
      <c r="N28" s="18"/>
      <c r="O28" s="19" t="s">
        <v>54</v>
      </c>
      <c r="P28" s="19" t="s">
        <v>55</v>
      </c>
    </row>
    <row r="29" spans="1:16" ht="12.75" customHeight="1" thickBot="1" x14ac:dyDescent="0.25">
      <c r="A29" s="3" t="str">
        <f t="shared" si="0"/>
        <v> MVS 11.10 </v>
      </c>
      <c r="B29" s="2" t="str">
        <f t="shared" si="1"/>
        <v>I</v>
      </c>
      <c r="C29" s="3">
        <f t="shared" si="2"/>
        <v>44633.339</v>
      </c>
      <c r="D29" s="4" t="str">
        <f t="shared" si="3"/>
        <v>vis</v>
      </c>
      <c r="E29" s="16">
        <f>VLOOKUP(C29,Active!C$21:E$973,3,FALSE)</f>
        <v>-2327.0326946624937</v>
      </c>
      <c r="F29" s="2" t="s">
        <v>48</v>
      </c>
      <c r="G29" s="4" t="str">
        <f t="shared" si="4"/>
        <v>44633.339</v>
      </c>
      <c r="H29" s="3">
        <f t="shared" si="5"/>
        <v>-2327</v>
      </c>
      <c r="I29" s="17" t="s">
        <v>105</v>
      </c>
      <c r="J29" s="18" t="s">
        <v>106</v>
      </c>
      <c r="K29" s="17">
        <v>-2327</v>
      </c>
      <c r="L29" s="17" t="s">
        <v>107</v>
      </c>
      <c r="M29" s="18" t="s">
        <v>53</v>
      </c>
      <c r="N29" s="18"/>
      <c r="O29" s="19" t="s">
        <v>54</v>
      </c>
      <c r="P29" s="19" t="s">
        <v>55</v>
      </c>
    </row>
    <row r="30" spans="1:16" ht="12.75" customHeight="1" thickBot="1" x14ac:dyDescent="0.25">
      <c r="A30" s="3" t="str">
        <f t="shared" si="0"/>
        <v> MVS 11.10 </v>
      </c>
      <c r="B30" s="2" t="str">
        <f t="shared" si="1"/>
        <v>I</v>
      </c>
      <c r="C30" s="3">
        <f t="shared" si="2"/>
        <v>44846.487000000001</v>
      </c>
      <c r="D30" s="4" t="str">
        <f t="shared" si="3"/>
        <v>vis</v>
      </c>
      <c r="E30" s="16">
        <f>VLOOKUP(C30,Active!C$21:E$973,3,FALSE)</f>
        <v>-2263.989435015882</v>
      </c>
      <c r="F30" s="2" t="s">
        <v>48</v>
      </c>
      <c r="G30" s="4" t="str">
        <f t="shared" si="4"/>
        <v>44846.487</v>
      </c>
      <c r="H30" s="3">
        <f t="shared" si="5"/>
        <v>-2264</v>
      </c>
      <c r="I30" s="17" t="s">
        <v>108</v>
      </c>
      <c r="J30" s="18" t="s">
        <v>109</v>
      </c>
      <c r="K30" s="17">
        <v>-2264</v>
      </c>
      <c r="L30" s="17" t="s">
        <v>110</v>
      </c>
      <c r="M30" s="18" t="s">
        <v>53</v>
      </c>
      <c r="N30" s="18"/>
      <c r="O30" s="19" t="s">
        <v>54</v>
      </c>
      <c r="P30" s="19" t="s">
        <v>55</v>
      </c>
    </row>
    <row r="31" spans="1:16" ht="12.75" customHeight="1" thickBot="1" x14ac:dyDescent="0.25">
      <c r="A31" s="3" t="str">
        <f t="shared" si="0"/>
        <v> MVS 11.10 </v>
      </c>
      <c r="B31" s="2" t="str">
        <f t="shared" si="1"/>
        <v>I</v>
      </c>
      <c r="C31" s="3">
        <f t="shared" si="2"/>
        <v>45671.4</v>
      </c>
      <c r="D31" s="4" t="str">
        <f t="shared" si="3"/>
        <v>vis</v>
      </c>
      <c r="E31" s="16">
        <f>VLOOKUP(C31,Active!C$21:E$973,3,FALSE)</f>
        <v>-2020.0030760312088</v>
      </c>
      <c r="F31" s="2" t="s">
        <v>48</v>
      </c>
      <c r="G31" s="4" t="str">
        <f t="shared" si="4"/>
        <v>45671.400</v>
      </c>
      <c r="H31" s="3">
        <f t="shared" si="5"/>
        <v>-2020</v>
      </c>
      <c r="I31" s="17" t="s">
        <v>111</v>
      </c>
      <c r="J31" s="18" t="s">
        <v>112</v>
      </c>
      <c r="K31" s="17">
        <v>-2020</v>
      </c>
      <c r="L31" s="17" t="s">
        <v>113</v>
      </c>
      <c r="M31" s="18" t="s">
        <v>53</v>
      </c>
      <c r="N31" s="18"/>
      <c r="O31" s="19" t="s">
        <v>54</v>
      </c>
      <c r="P31" s="19" t="s">
        <v>55</v>
      </c>
    </row>
    <row r="32" spans="1:16" ht="12.75" customHeight="1" thickBot="1" x14ac:dyDescent="0.25">
      <c r="A32" s="3" t="str">
        <f t="shared" si="0"/>
        <v> BRNO 31 </v>
      </c>
      <c r="B32" s="2" t="str">
        <f t="shared" si="1"/>
        <v>I</v>
      </c>
      <c r="C32" s="3">
        <f t="shared" si="2"/>
        <v>48288.328999999998</v>
      </c>
      <c r="D32" s="4" t="str">
        <f t="shared" si="3"/>
        <v>vis</v>
      </c>
      <c r="E32" s="16">
        <f>VLOOKUP(C32,Active!C$21:E$973,3,FALSE)</f>
        <v>-1245.9881454489528</v>
      </c>
      <c r="F32" s="2" t="s">
        <v>48</v>
      </c>
      <c r="G32" s="4" t="str">
        <f t="shared" si="4"/>
        <v>48288.329</v>
      </c>
      <c r="H32" s="3">
        <f t="shared" si="5"/>
        <v>-1246</v>
      </c>
      <c r="I32" s="17" t="s">
        <v>114</v>
      </c>
      <c r="J32" s="18" t="s">
        <v>115</v>
      </c>
      <c r="K32" s="17">
        <v>-1246</v>
      </c>
      <c r="L32" s="17" t="s">
        <v>116</v>
      </c>
      <c r="M32" s="18" t="s">
        <v>77</v>
      </c>
      <c r="N32" s="18"/>
      <c r="O32" s="19" t="s">
        <v>117</v>
      </c>
      <c r="P32" s="19" t="s">
        <v>118</v>
      </c>
    </row>
    <row r="33" spans="1:16" ht="12.75" customHeight="1" thickBot="1" x14ac:dyDescent="0.25">
      <c r="A33" s="3" t="str">
        <f t="shared" si="0"/>
        <v> BBS 107 </v>
      </c>
      <c r="B33" s="2" t="str">
        <f t="shared" si="1"/>
        <v>I</v>
      </c>
      <c r="C33" s="3">
        <f t="shared" si="2"/>
        <v>49309.366999999998</v>
      </c>
      <c r="D33" s="4" t="str">
        <f t="shared" si="3"/>
        <v>vis</v>
      </c>
      <c r="E33" s="16">
        <f>VLOOKUP(C33,Active!C$21:E$973,3,FALSE)</f>
        <v>-943.99345751823421</v>
      </c>
      <c r="F33" s="2" t="s">
        <v>48</v>
      </c>
      <c r="G33" s="4" t="str">
        <f t="shared" si="4"/>
        <v>49309.367</v>
      </c>
      <c r="H33" s="3">
        <f t="shared" si="5"/>
        <v>-944</v>
      </c>
      <c r="I33" s="17" t="s">
        <v>119</v>
      </c>
      <c r="J33" s="18" t="s">
        <v>120</v>
      </c>
      <c r="K33" s="17">
        <v>-944</v>
      </c>
      <c r="L33" s="17" t="s">
        <v>121</v>
      </c>
      <c r="M33" s="18" t="s">
        <v>77</v>
      </c>
      <c r="N33" s="18"/>
      <c r="O33" s="19" t="s">
        <v>122</v>
      </c>
      <c r="P33" s="19" t="s">
        <v>123</v>
      </c>
    </row>
    <row r="34" spans="1:16" ht="12.75" customHeight="1" thickBot="1" x14ac:dyDescent="0.25">
      <c r="A34" s="3" t="str">
        <f t="shared" si="0"/>
        <v> BBS 111 </v>
      </c>
      <c r="B34" s="2" t="str">
        <f t="shared" si="1"/>
        <v>I</v>
      </c>
      <c r="C34" s="3">
        <f t="shared" si="2"/>
        <v>50012.591</v>
      </c>
      <c r="D34" s="4" t="str">
        <f t="shared" si="3"/>
        <v>vis</v>
      </c>
      <c r="E34" s="16">
        <f>VLOOKUP(C34,Active!C$21:E$973,3,FALSE)</f>
        <v>-735.999325639311</v>
      </c>
      <c r="F34" s="2" t="s">
        <v>48</v>
      </c>
      <c r="G34" s="4" t="str">
        <f t="shared" si="4"/>
        <v>50012.591</v>
      </c>
      <c r="H34" s="3">
        <f t="shared" si="5"/>
        <v>-736</v>
      </c>
      <c r="I34" s="17" t="s">
        <v>124</v>
      </c>
      <c r="J34" s="18" t="s">
        <v>125</v>
      </c>
      <c r="K34" s="17">
        <v>-736</v>
      </c>
      <c r="L34" s="17" t="s">
        <v>126</v>
      </c>
      <c r="M34" s="18" t="s">
        <v>77</v>
      </c>
      <c r="N34" s="18"/>
      <c r="O34" s="19" t="s">
        <v>122</v>
      </c>
      <c r="P34" s="19" t="s">
        <v>127</v>
      </c>
    </row>
    <row r="35" spans="1:16" x14ac:dyDescent="0.2">
      <c r="B35" s="2"/>
      <c r="F35" s="2"/>
    </row>
    <row r="36" spans="1:16" x14ac:dyDescent="0.2">
      <c r="B36" s="2"/>
      <c r="F36" s="2"/>
    </row>
    <row r="37" spans="1:16" x14ac:dyDescent="0.2">
      <c r="B37" s="2"/>
      <c r="F37" s="2"/>
    </row>
    <row r="38" spans="1:16" x14ac:dyDescent="0.2">
      <c r="B38" s="2"/>
      <c r="F38" s="2"/>
    </row>
    <row r="39" spans="1:16" x14ac:dyDescent="0.2">
      <c r="B39" s="2"/>
      <c r="F39" s="2"/>
    </row>
    <row r="40" spans="1:16" x14ac:dyDescent="0.2">
      <c r="B40" s="2"/>
      <c r="F40" s="2"/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</sheetData>
  <phoneticPr fontId="7" type="noConversion"/>
  <hyperlinks>
    <hyperlink ref="P11" r:id="rId1" display="http://www.konkoly.hu/cgi-bin/IBVS?488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2024-03-09T02:58:43Z</dcterms:modified>
</cp:coreProperties>
</file>