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CC88931-20CE-4A78-B914-D18D7AD977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E23" i="1"/>
  <c r="F23" i="1"/>
  <c r="G23" i="1" s="1"/>
  <c r="J23" i="1" s="1"/>
  <c r="Q23" i="1"/>
  <c r="E22" i="1"/>
  <c r="F22" i="1"/>
  <c r="G22" i="1"/>
  <c r="I22" i="1"/>
  <c r="Q22" i="1"/>
  <c r="C21" i="1"/>
  <c r="E21" i="1"/>
  <c r="F21" i="1"/>
  <c r="E9" i="1"/>
  <c r="D9" i="1"/>
  <c r="Q21" i="1"/>
  <c r="G21" i="1"/>
  <c r="C17" i="1"/>
  <c r="H21" i="1"/>
  <c r="C12" i="1"/>
  <c r="C11" i="1"/>
  <c r="O23" i="1" l="1"/>
  <c r="C16" i="1"/>
  <c r="D18" i="1" s="1"/>
  <c r="C15" i="1"/>
  <c r="F16" i="1" s="1"/>
  <c r="O22" i="1"/>
  <c r="O21" i="1"/>
  <c r="F18" i="1" l="1"/>
  <c r="F17" i="1"/>
  <c r="C18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<sst xmlns="http://schemas.openxmlformats.org/spreadsheetml/2006/main" count="57" uniqueCount="52">
  <si>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</si>
  <si>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</si>
  <si>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</si>
  <si>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</si>
  <si>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</si>
  <si>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</si>
  <si>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</si>
  <si>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</si>
  <si>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</si>
  <si>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</si>
  <si>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</si>
  <si>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</si>
  <si>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</si>
  <si>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</si>
  <si>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</si>
  <si>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</si>
  <si>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</si>
  <si>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</si>
  <si>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</si>
  <si>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</si>
  <si>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</si>
  <si>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</si>
  <si>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</si>
  <si>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</si>
  <si>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</si>
  <si>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</si>
  <si>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</si>
  <si>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</si>
  <si>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</si>
  <si>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</si>
  <si>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</si>
  <si>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</si>
  <si>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</si>
  <si>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BAD</t>
  </si>
  <si>
    <t>Add cycle</t>
  </si>
  <si>
    <t>Old Cycle</t>
  </si>
  <si>
    <t>New Cycle</t>
  </si>
  <si>
    <t>not avail.</t>
  </si>
  <si>
    <t>VSX</t>
  </si>
  <si>
    <t>Start of linear fit &gt;&gt;&gt;&gt;&gt;&gt;</t>
  </si>
  <si>
    <t>CU Tuc / GSC 8844-1409</t>
  </si>
  <si>
    <t>EA</t>
  </si>
  <si>
    <t>IBVS 6093</t>
  </si>
  <si>
    <t>I</t>
  </si>
  <si>
    <t>BMGA</t>
  </si>
  <si>
    <t>II</t>
  </si>
  <si>
    <t>VSS SEB Gp</t>
  </si>
  <si>
    <t>CCD</t>
  </si>
  <si>
    <t xml:space="preserve">Mag </t>
  </si>
  <si>
    <t>Next ToM-P</t>
  </si>
  <si>
    <t>Next ToM-S</t>
  </si>
  <si>
    <t>9.99-10.40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</si>
</sst>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"/>
    <numFmt numFmtId="166" formatCode="0.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 applyProtection="1">
      <alignment horizontal="center"/>
      <protection locked="0"/>
    </xf>
    <xf numFmtId="165" fontId="0" fillId="0" borderId="0" xfId="0" applyNumberFormat="1" applyAlignment="1">
      <alignment horizontal="left"/>
    </xf>
    <xf numFmtId="165" fontId="14" fillId="0" borderId="0" xfId="0" applyNumberFormat="1" applyFont="1" applyAlignment="1">
      <alignment horizontal="left"/>
    </xf>
    <xf numFmtId="165" fontId="16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14" fillId="0" borderId="0" xfId="0" applyNumberFormat="1" applyFont="1" applyAlignment="1">
      <alignment horizontal="left"/>
    </xf>
    <xf numFmtId="166" fontId="16" fillId="0" borderId="0" xfId="0" applyNumberFormat="1" applyFont="1" applyAlignment="1">
      <alignment horizontal="left"/>
    </xf>
    <xf numFmtId="0" fontId="6" fillId="0" borderId="0" xfId="0" applyFont="1" applyAlignment="1"/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8" fillId="0" borderId="8" xfId="0" applyFont="1" applyBorder="1" applyAlignment="1"/>
    <xf numFmtId="0" fontId="16" fillId="0" borderId="8" xfId="0" applyFont="1" applyBorder="1" applyAlignment="1"/>
    <xf numFmtId="0" fontId="16" fillId="0" borderId="8" xfId="0" applyFont="1" applyBorder="1">
      <alignment vertical="top"/>
    </xf>
    <xf numFmtId="22" fontId="16" fillId="0" borderId="8" xfId="0" applyNumberFormat="1" applyFont="1" applyBorder="1">
      <alignment vertical="top"/>
    </xf>
    <xf numFmtId="22" fontId="16" fillId="0" borderId="9" xfId="0" applyNumberFormat="1" applyFont="1" applyBorder="1" applyAlignment="1"/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CU Tuc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4-4398-BFA8-FB5A77C577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7.1089999983087182E-3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94-4398-BFA8-FB5A77C577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1.7919999867444858E-2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94-4398-BFA8-FB5A77C577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94-4398-BFA8-FB5A77C577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94-4398-BFA8-FB5A77C577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94-4398-BFA8-FB5A77C577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1.2899999999999999E-3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94-4398-BFA8-FB5A77C577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-1.0362921638166385E-3</c:v>
                </c:pt>
                <c:pt idx="1">
                  <c:v>1.045274632955598E-2</c:v>
                </c:pt>
                <c:pt idx="2">
                  <c:v>1.561254570001424E-2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94-4398-BFA8-FB5A77C5772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9343</c:v>
                </c:pt>
                <c:pt idx="2">
                  <c:v>13539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94-4398-BFA8-FB5A77C57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94528"/>
        <c:axId val="1"/>
      </c:scatterChart>
      <c:valAx>
        <c:axId val="431594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1594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3834586466165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5537F35-4C9C-19EF-7045-8B91DAAA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9.42578125" customWidth="1"/>
    <col min="5" max="5" width="11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23</v>
      </c>
      <c r="B2" t="s">
        <v>41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6" t="s">
        <v>37</v>
      </c>
      <c r="D4" s="27" t="s">
        <v>37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40">
        <v>48500.406999999999</v>
      </c>
      <c r="D7" s="28" t="s">
        <v>38</v>
      </c>
    </row>
    <row r="8" spans="1:6" x14ac:dyDescent="0.2">
      <c r="A8" t="s">
        <v>3</v>
      </c>
      <c r="C8" s="40">
        <v>0.86583699999999997</v>
      </c>
      <c r="D8" s="28" t="s">
        <v>38</v>
      </c>
    </row>
    <row r="9" spans="1:6" x14ac:dyDescent="0.2">
      <c r="A9" s="23" t="s">
        <v>39</v>
      </c>
      <c r="C9" s="24">
        <v>21</v>
      </c>
      <c r="D9" s="21" t="str">
        <f>"F"&amp;C9</f>
        <v>F21</v>
      </c>
      <c r="E9" s="22" t="str">
        <f>"G"&amp;C9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0">
        <f ca="1">INTERCEPT(INDIRECT($E$9):G992,INDIRECT($D$9):F992)</f>
        <v>-1.0362921638166385E-3</v>
      </c>
      <c r="D11" s="3"/>
      <c r="E11" s="10"/>
    </row>
    <row r="12" spans="1:6" x14ac:dyDescent="0.2">
      <c r="A12" s="10" t="s">
        <v>16</v>
      </c>
      <c r="B12" s="10"/>
      <c r="C12" s="20">
        <f ca="1">SLOPE(INDIRECT($E$9):G992,INDIRECT($D$9):F992)</f>
        <v>1.2296947975353332E-6</v>
      </c>
      <c r="D12" s="3"/>
      <c r="E12" s="41" t="s">
        <v>48</v>
      </c>
      <c r="F12" s="42" t="s">
        <v>51</v>
      </c>
    </row>
    <row r="13" spans="1:6" x14ac:dyDescent="0.2">
      <c r="A13" s="10" t="s">
        <v>18</v>
      </c>
      <c r="B13" s="10"/>
      <c r="C13" s="3" t="s">
        <v>13</v>
      </c>
      <c r="E13" s="43" t="s">
        <v>34</v>
      </c>
      <c r="F13" s="44">
        <v>1</v>
      </c>
    </row>
    <row r="14" spans="1:6" x14ac:dyDescent="0.2">
      <c r="A14" s="10"/>
      <c r="B14" s="10"/>
      <c r="C14" s="10"/>
      <c r="E14" s="43" t="s">
        <v>32</v>
      </c>
      <c r="F14" s="45">
        <f ca="1">NOW()+15018.5+$C$5/24</f>
        <v>60520.848812037031</v>
      </c>
    </row>
    <row r="15" spans="1:6" x14ac:dyDescent="0.2">
      <c r="A15" s="12" t="s">
        <v>17</v>
      </c>
      <c r="B15" s="10"/>
      <c r="C15" s="13">
        <f ca="1">(C7+C11)+(C8+C12)*INT(MAX(F21:F3533))</f>
        <v>60222.989755545699</v>
      </c>
      <c r="E15" s="43" t="s">
        <v>35</v>
      </c>
      <c r="F15" s="46">
        <f ca="1">ROUND(2*($F$14-$C$7)/$C$8,0)/2+$F$13</f>
        <v>13884</v>
      </c>
    </row>
    <row r="16" spans="1:6" x14ac:dyDescent="0.2">
      <c r="A16" s="15" t="s">
        <v>4</v>
      </c>
      <c r="B16" s="10"/>
      <c r="C16" s="16">
        <f ca="1">+C8+C12</f>
        <v>0.86583822969479751</v>
      </c>
      <c r="E16" s="43" t="s">
        <v>36</v>
      </c>
      <c r="F16" s="46">
        <f ca="1">ROUND(2*($F$14-$C$15)/$C$16,0)/2+$F$13</f>
        <v>345</v>
      </c>
    </row>
    <row r="17" spans="1:20" ht="13.5" thickBot="1" x14ac:dyDescent="0.25">
      <c r="A17" s="14" t="s">
        <v>29</v>
      </c>
      <c r="B17" s="10"/>
      <c r="C17" s="10">
        <f>COUNT(C21:C2191)</f>
        <v>3</v>
      </c>
      <c r="E17" s="43" t="s">
        <v>49</v>
      </c>
      <c r="F17" s="47">
        <f ca="1">+$C$15+$C$16*$F$16-15018.5-$C$5/24</f>
        <v>45503.599778123738</v>
      </c>
    </row>
    <row r="18" spans="1:20" ht="14.25" thickTop="1" thickBot="1" x14ac:dyDescent="0.25">
      <c r="A18" s="15" t="s">
        <v>5</v>
      </c>
      <c r="B18" s="10"/>
      <c r="C18" s="18">
        <f ca="1">+C15</f>
        <v>60222.989755545699</v>
      </c>
      <c r="D18" s="19">
        <f ca="1">+C16</f>
        <v>0.86583822969479751</v>
      </c>
      <c r="E18" s="49" t="s">
        <v>50</v>
      </c>
      <c r="F18" s="48">
        <f ca="1">+($C$15+$C$16*$F$16)-($C$16/2)-15018.5-$C$5/24</f>
        <v>45503.166859008888</v>
      </c>
    </row>
    <row r="19" spans="1:20" ht="13.5" thickTop="1" x14ac:dyDescent="0.2">
      <c r="E19" s="14"/>
      <c r="F19" s="17"/>
    </row>
    <row r="20" spans="1:20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5" t="s">
        <v>33</v>
      </c>
    </row>
    <row r="21" spans="1:20" x14ac:dyDescent="0.2">
      <c r="A21" t="s">
        <v>38</v>
      </c>
      <c r="C21" s="36">
        <f>C$7</f>
        <v>48500.406999999999</v>
      </c>
      <c r="D21" s="33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-1.0362921638166385E-3</v>
      </c>
      <c r="Q21" s="2">
        <f>+C21-15018.5</f>
        <v>33481.906999999999</v>
      </c>
    </row>
    <row r="22" spans="1:20" x14ac:dyDescent="0.2">
      <c r="A22" s="29" t="s">
        <v>42</v>
      </c>
      <c r="B22" s="30" t="s">
        <v>43</v>
      </c>
      <c r="C22" s="37">
        <v>56589.929199999999</v>
      </c>
      <c r="D22" s="34">
        <v>4.0000000000000002E-4</v>
      </c>
      <c r="E22">
        <f>+(C22-C$7)/C$8</f>
        <v>9343.0082105523325</v>
      </c>
      <c r="F22">
        <f>ROUND(2*E22,0)/2</f>
        <v>9343</v>
      </c>
      <c r="G22">
        <f>+C22-(C$7+F22*C$8)</f>
        <v>7.1089999983087182E-3</v>
      </c>
      <c r="I22">
        <f>+G22</f>
        <v>7.1089999983087182E-3</v>
      </c>
      <c r="O22">
        <f ca="1">+C$11+C$12*$F22</f>
        <v>1.045274632955598E-2</v>
      </c>
      <c r="Q22" s="2">
        <f>+C22-15018.5</f>
        <v>41571.429199999999</v>
      </c>
    </row>
    <row r="23" spans="1:20" x14ac:dyDescent="0.2">
      <c r="A23" s="31" t="s">
        <v>44</v>
      </c>
      <c r="B23" s="32" t="s">
        <v>45</v>
      </c>
      <c r="C23" s="38">
        <v>60222.992062999867</v>
      </c>
      <c r="D23" s="35">
        <v>1.2899999999999999E-3</v>
      </c>
      <c r="E23">
        <f>+(C23-C$7)/C$8</f>
        <v>13539.02069673607</v>
      </c>
      <c r="F23">
        <f>ROUND(2*E23,0)/2</f>
        <v>13539</v>
      </c>
      <c r="G23">
        <f>+C23-(C$7+F23*C$8)</f>
        <v>1.7919999867444858E-2</v>
      </c>
      <c r="J23">
        <f>+G23</f>
        <v>1.7919999867444858E-2</v>
      </c>
      <c r="O23">
        <f ca="1">+C$11+C$12*$F23</f>
        <v>1.561254570001424E-2</v>
      </c>
      <c r="Q23" s="2">
        <f>+C23-15018.5</f>
        <v>45204.492062999867</v>
      </c>
      <c r="T23" s="39" t="s">
        <v>46</v>
      </c>
    </row>
    <row r="24" spans="1:20" x14ac:dyDescent="0.2">
      <c r="C24" s="36"/>
      <c r="D24" s="33"/>
      <c r="Q24" s="2"/>
    </row>
    <row r="25" spans="1:20" x14ac:dyDescent="0.2">
      <c r="C25" s="36"/>
      <c r="D25" s="33"/>
      <c r="Q25" s="2"/>
    </row>
    <row r="26" spans="1:20" x14ac:dyDescent="0.2">
      <c r="C26" s="36"/>
      <c r="D26" s="33"/>
      <c r="Q26" s="2"/>
    </row>
    <row r="27" spans="1:20" x14ac:dyDescent="0.2">
      <c r="C27" s="36"/>
      <c r="D27" s="33"/>
      <c r="Q27" s="2"/>
    </row>
    <row r="28" spans="1:20" x14ac:dyDescent="0.2">
      <c r="C28" s="36"/>
      <c r="D28" s="33"/>
      <c r="Q28" s="2"/>
    </row>
    <row r="29" spans="1:20" x14ac:dyDescent="0.2">
      <c r="C29" s="36"/>
      <c r="D29" s="33"/>
      <c r="Q29" s="2"/>
    </row>
    <row r="30" spans="1:20" x14ac:dyDescent="0.2">
      <c r="C30" s="36"/>
      <c r="D30" s="33"/>
      <c r="Q30" s="2"/>
    </row>
    <row r="31" spans="1:20" x14ac:dyDescent="0.2">
      <c r="C31" s="36"/>
      <c r="D31" s="33"/>
      <c r="Q31" s="2"/>
    </row>
    <row r="32" spans="1:20" x14ac:dyDescent="0.2">
      <c r="C32" s="36"/>
      <c r="D32" s="33"/>
      <c r="Q32" s="2"/>
    </row>
    <row r="33" spans="3:17" x14ac:dyDescent="0.2">
      <c r="C33" s="36"/>
      <c r="D33" s="33"/>
      <c r="Q33" s="2"/>
    </row>
    <row r="34" spans="3:17" x14ac:dyDescent="0.2">
      <c r="C34" s="36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2024-07-29T08:22:17Z</dcterms:modified>
</cp:coreProperties>
</file>