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37C8371-7BB8-413C-9BB4-24C50F211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5" i="1" l="1"/>
  <c r="F65" i="1" s="1"/>
  <c r="G65" i="1" s="1"/>
  <c r="K65" i="1" s="1"/>
  <c r="Q65" i="1"/>
  <c r="C7" i="1"/>
  <c r="C8" i="1"/>
  <c r="C9" i="1"/>
  <c r="D9" i="1"/>
  <c r="F16" i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I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G46" i="1"/>
  <c r="J46" i="1"/>
  <c r="Q46" i="1"/>
  <c r="E47" i="1"/>
  <c r="F47" i="1"/>
  <c r="G47" i="1"/>
  <c r="K47" i="1"/>
  <c r="Q47" i="1"/>
  <c r="E48" i="1"/>
  <c r="F48" i="1"/>
  <c r="G48" i="1"/>
  <c r="K48" i="1"/>
  <c r="Q48" i="1"/>
  <c r="E49" i="1"/>
  <c r="F49" i="1"/>
  <c r="G49" i="1"/>
  <c r="K49" i="1"/>
  <c r="Q49" i="1"/>
  <c r="E50" i="1"/>
  <c r="F50" i="1"/>
  <c r="G50" i="1"/>
  <c r="K50" i="1"/>
  <c r="Q50" i="1"/>
  <c r="E51" i="1"/>
  <c r="F51" i="1"/>
  <c r="G51" i="1"/>
  <c r="K51" i="1"/>
  <c r="Q51" i="1"/>
  <c r="E52" i="1"/>
  <c r="F52" i="1"/>
  <c r="G52" i="1"/>
  <c r="K52" i="1"/>
  <c r="Q52" i="1"/>
  <c r="E53" i="1"/>
  <c r="F53" i="1"/>
  <c r="G53" i="1"/>
  <c r="K53" i="1"/>
  <c r="Q53" i="1"/>
  <c r="E54" i="1"/>
  <c r="F54" i="1"/>
  <c r="G54" i="1"/>
  <c r="K54" i="1"/>
  <c r="Q54" i="1"/>
  <c r="E55" i="1"/>
  <c r="F55" i="1"/>
  <c r="G55" i="1"/>
  <c r="J55" i="1"/>
  <c r="Q55" i="1"/>
  <c r="E56" i="1"/>
  <c r="F56" i="1"/>
  <c r="G56" i="1"/>
  <c r="J56" i="1"/>
  <c r="Q56" i="1"/>
  <c r="E57" i="1"/>
  <c r="F57" i="1"/>
  <c r="G57" i="1"/>
  <c r="J57" i="1"/>
  <c r="Q57" i="1"/>
  <c r="E58" i="1"/>
  <c r="F58" i="1"/>
  <c r="G58" i="1"/>
  <c r="J58" i="1"/>
  <c r="Q58" i="1"/>
  <c r="E59" i="1"/>
  <c r="F59" i="1"/>
  <c r="G59" i="1"/>
  <c r="J59" i="1"/>
  <c r="Q59" i="1"/>
  <c r="E60" i="1"/>
  <c r="F60" i="1"/>
  <c r="G60" i="1"/>
  <c r="K60" i="1"/>
  <c r="Q60" i="1"/>
  <c r="E61" i="1"/>
  <c r="F61" i="1"/>
  <c r="G61" i="1"/>
  <c r="K61" i="1"/>
  <c r="Q61" i="1"/>
  <c r="E62" i="1"/>
  <c r="F62" i="1"/>
  <c r="G62" i="1"/>
  <c r="K62" i="1"/>
  <c r="Q62" i="1"/>
  <c r="E63" i="1"/>
  <c r="F63" i="1"/>
  <c r="G63" i="1"/>
  <c r="K63" i="1"/>
  <c r="Q63" i="1"/>
  <c r="E64" i="1"/>
  <c r="F64" i="1"/>
  <c r="G64" i="1"/>
  <c r="K64" i="1"/>
  <c r="Q64" i="1"/>
  <c r="A11" i="2"/>
  <c r="B11" i="2"/>
  <c r="D11" i="2"/>
  <c r="G11" i="2"/>
  <c r="C11" i="2"/>
  <c r="E11" i="2"/>
  <c r="H11" i="2"/>
  <c r="A12" i="2"/>
  <c r="B12" i="2"/>
  <c r="C12" i="2"/>
  <c r="E12" i="2"/>
  <c r="D12" i="2"/>
  <c r="G12" i="2"/>
  <c r="H12" i="2"/>
  <c r="A13" i="2"/>
  <c r="B13" i="2"/>
  <c r="C13" i="2"/>
  <c r="E13" i="2"/>
  <c r="D13" i="2"/>
  <c r="G13" i="2"/>
  <c r="H13" i="2"/>
  <c r="A14" i="2"/>
  <c r="C14" i="2"/>
  <c r="D14" i="2"/>
  <c r="G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C18" i="2"/>
  <c r="E18" i="2"/>
  <c r="D18" i="2"/>
  <c r="G18" i="2"/>
  <c r="H18" i="2"/>
  <c r="B18" i="2"/>
  <c r="A19" i="2"/>
  <c r="B19" i="2"/>
  <c r="C19" i="2"/>
  <c r="E19" i="2"/>
  <c r="D19" i="2"/>
  <c r="G19" i="2"/>
  <c r="H19" i="2"/>
  <c r="A20" i="2"/>
  <c r="B20" i="2"/>
  <c r="C20" i="2"/>
  <c r="E20" i="2"/>
  <c r="D20" i="2"/>
  <c r="G20" i="2"/>
  <c r="H20" i="2"/>
  <c r="A21" i="2"/>
  <c r="B21" i="2"/>
  <c r="C21" i="2"/>
  <c r="E21" i="2"/>
  <c r="D21" i="2"/>
  <c r="G21" i="2"/>
  <c r="H21" i="2"/>
  <c r="A22" i="2"/>
  <c r="C22" i="2"/>
  <c r="D22" i="2"/>
  <c r="E22" i="2"/>
  <c r="G22" i="2"/>
  <c r="H22" i="2"/>
  <c r="B22" i="2"/>
  <c r="A23" i="2"/>
  <c r="D23" i="2"/>
  <c r="G23" i="2"/>
  <c r="C23" i="2"/>
  <c r="E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E25" i="2"/>
  <c r="H25" i="2"/>
  <c r="B25" i="2"/>
  <c r="A26" i="2"/>
  <c r="C26" i="2"/>
  <c r="E26" i="2"/>
  <c r="D26" i="2"/>
  <c r="G26" i="2"/>
  <c r="H26" i="2"/>
  <c r="B26" i="2"/>
  <c r="A27" i="2"/>
  <c r="B27" i="2"/>
  <c r="D27" i="2"/>
  <c r="G27" i="2"/>
  <c r="C27" i="2"/>
  <c r="E27" i="2"/>
  <c r="H27" i="2"/>
  <c r="A28" i="2"/>
  <c r="B28" i="2"/>
  <c r="C28" i="2"/>
  <c r="E28" i="2"/>
  <c r="D28" i="2"/>
  <c r="G28" i="2"/>
  <c r="H28" i="2"/>
  <c r="A29" i="2"/>
  <c r="B29" i="2"/>
  <c r="C29" i="2"/>
  <c r="E29" i="2"/>
  <c r="D29" i="2"/>
  <c r="G29" i="2"/>
  <c r="H29" i="2"/>
  <c r="A30" i="2"/>
  <c r="C30" i="2"/>
  <c r="D30" i="2"/>
  <c r="E30" i="2"/>
  <c r="G30" i="2"/>
  <c r="H30" i="2"/>
  <c r="B30" i="2"/>
  <c r="A31" i="2"/>
  <c r="D31" i="2"/>
  <c r="G31" i="2"/>
  <c r="C31" i="2"/>
  <c r="E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C34" i="2"/>
  <c r="E34" i="2"/>
  <c r="D34" i="2"/>
  <c r="G34" i="2"/>
  <c r="H34" i="2"/>
  <c r="B34" i="2"/>
  <c r="A35" i="2"/>
  <c r="B35" i="2"/>
  <c r="D35" i="2"/>
  <c r="G35" i="2"/>
  <c r="C35" i="2"/>
  <c r="E35" i="2"/>
  <c r="H35" i="2"/>
  <c r="A36" i="2"/>
  <c r="B36" i="2"/>
  <c r="C36" i="2"/>
  <c r="E36" i="2"/>
  <c r="D36" i="2"/>
  <c r="G36" i="2"/>
  <c r="H36" i="2"/>
  <c r="A37" i="2"/>
  <c r="B37" i="2"/>
  <c r="C37" i="2"/>
  <c r="E37" i="2"/>
  <c r="D37" i="2"/>
  <c r="G37" i="2"/>
  <c r="H37" i="2"/>
  <c r="A38" i="2"/>
  <c r="C38" i="2"/>
  <c r="D38" i="2"/>
  <c r="E38" i="2"/>
  <c r="G38" i="2"/>
  <c r="H38" i="2"/>
  <c r="B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C42" i="2"/>
  <c r="E42" i="2"/>
  <c r="D42" i="2"/>
  <c r="G42" i="2"/>
  <c r="H42" i="2"/>
  <c r="B42" i="2"/>
  <c r="A43" i="2"/>
  <c r="B43" i="2"/>
  <c r="D43" i="2"/>
  <c r="G43" i="2"/>
  <c r="C43" i="2"/>
  <c r="E43" i="2"/>
  <c r="H43" i="2"/>
  <c r="A44" i="2"/>
  <c r="B44" i="2"/>
  <c r="C44" i="2"/>
  <c r="E44" i="2"/>
  <c r="D44" i="2"/>
  <c r="G44" i="2"/>
  <c r="H44" i="2"/>
  <c r="A45" i="2"/>
  <c r="B45" i="2"/>
  <c r="C45" i="2"/>
  <c r="E45" i="2"/>
  <c r="D45" i="2"/>
  <c r="G45" i="2"/>
  <c r="H45" i="2"/>
  <c r="A46" i="2"/>
  <c r="C46" i="2"/>
  <c r="D46" i="2"/>
  <c r="E46" i="2"/>
  <c r="G46" i="2"/>
  <c r="H46" i="2"/>
  <c r="B46" i="2"/>
  <c r="A47" i="2"/>
  <c r="D47" i="2"/>
  <c r="G47" i="2"/>
  <c r="C47" i="2"/>
  <c r="E47" i="2"/>
  <c r="H47" i="2"/>
  <c r="B47" i="2"/>
  <c r="E14" i="2"/>
  <c r="C11" i="1"/>
  <c r="C12" i="1"/>
  <c r="O65" i="1" l="1"/>
  <c r="C16" i="1"/>
  <c r="D18" i="1" s="1"/>
  <c r="O26" i="1"/>
  <c r="O41" i="1"/>
  <c r="O23" i="1"/>
  <c r="O38" i="1"/>
  <c r="O49" i="1"/>
  <c r="O32" i="1"/>
  <c r="O57" i="1"/>
  <c r="O58" i="1"/>
  <c r="O35" i="1"/>
  <c r="O36" i="1"/>
  <c r="O59" i="1"/>
  <c r="O48" i="1"/>
  <c r="O21" i="1"/>
  <c r="O27" i="1"/>
  <c r="O22" i="1"/>
  <c r="O33" i="1"/>
  <c r="O31" i="1"/>
  <c r="O47" i="1"/>
  <c r="O45" i="1"/>
  <c r="O46" i="1"/>
  <c r="O53" i="1"/>
  <c r="O28" i="1"/>
  <c r="O54" i="1"/>
  <c r="O55" i="1"/>
  <c r="O43" i="1"/>
  <c r="O40" i="1"/>
  <c r="O39" i="1"/>
  <c r="O63" i="1"/>
  <c r="O29" i="1"/>
  <c r="O25" i="1"/>
  <c r="O62" i="1"/>
  <c r="O44" i="1"/>
  <c r="O42" i="1"/>
  <c r="O61" i="1"/>
  <c r="O64" i="1"/>
  <c r="O30" i="1"/>
  <c r="O52" i="1"/>
  <c r="C15" i="1"/>
  <c r="F18" i="1" s="1"/>
  <c r="O24" i="1"/>
  <c r="O60" i="1"/>
  <c r="O34" i="1"/>
  <c r="O37" i="1"/>
  <c r="O56" i="1"/>
  <c r="O51" i="1"/>
  <c r="O50" i="1"/>
  <c r="F17" i="1"/>
  <c r="F19" i="1" l="1"/>
  <c r="C18" i="1"/>
</calcChain>
</file>

<file path=xl/sharedStrings.xml><?xml version="1.0" encoding="utf-8"?>
<sst xmlns="http://schemas.openxmlformats.org/spreadsheetml/2006/main" count="431" uniqueCount="224">
  <si>
    <t>AF UMa / GSC 04147-01115</t>
  </si>
  <si>
    <t>System Type:</t>
  </si>
  <si>
    <t>EA/SD: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</si>
  <si>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</si>
  <si>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</si>
  <si>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</si>
  <si>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</si>
  <si>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</si>
  <si>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</si>
  <si>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</si>
  <si>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</si>
  <si>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</si>
  <si>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</si>
  <si>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</si>
  <si>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</si>
  <si>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</si>
  <si>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</si>
  <si>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</si>
  <si>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</si>
  <si>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</si>
  <si>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</si>
  <si>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</si>
  <si>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</si>
  <si>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</si>
  <si>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</si>
  <si>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</si>
  <si>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</si>
  <si>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</si>
  <si>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</si>
  <si>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</si>
  <si>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</si>
  <si>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</si>
  <si>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</si>
  <si>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</si>
  <si>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</si>
  <si>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</si>
  <si>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</si>
  <si>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</si>
  <si>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</si>
  <si>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</si>
  <si>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</si>
  <si>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</si>
  <si>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GCVS 4</t>
  </si>
  <si>
    <t> VB 5.14 </t>
  </si>
  <si>
    <t>I</t>
  </si>
  <si>
    <t> AOEB 10 </t>
  </si>
  <si>
    <t>BAVM 43 </t>
  </si>
  <si>
    <t>BAV-M 52</t>
  </si>
  <si>
    <t>K</t>
  </si>
  <si>
    <t>BAV-M 59</t>
  </si>
  <si>
    <t>IBVS 5731</t>
  </si>
  <si>
    <t> AOEB 12 </t>
  </si>
  <si>
    <t>JAVSO..36..171</t>
  </si>
  <si>
    <t>JAVSO..38...85</t>
  </si>
  <si>
    <t>VSB 51 </t>
  </si>
  <si>
    <t>OEJV 0137 </t>
  </si>
  <si>
    <t>OEJV 0137</t>
  </si>
  <si>
    <t>JAVSO..39..177</t>
  </si>
  <si>
    <t>II</t>
  </si>
  <si>
    <t>IBVS 6010</t>
  </si>
  <si>
    <t>IBVS 6084</t>
  </si>
  <si>
    <t>IBVS 6149</t>
  </si>
  <si>
    <t>IBVS 6157</t>
  </si>
  <si>
    <t>JAVSO..44…69</t>
  </si>
  <si>
    <t>IBVS 6244</t>
  </si>
  <si>
    <t>JAVSO..46..184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</si>
  <si>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</si>
  <si>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</si>
  <si>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</si>
  <si>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</si>
  <si>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</si>
  <si>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</si>
  <si>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</si>
  <si>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</si>
  <si>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</si>
  <si>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2447569.372 </t>
  </si>
  <si>
    <t> 11.02.1989 20:55 </t>
  </si>
  <si>
    <t> 0.372 </t>
  </si>
  <si>
    <t>F </t>
  </si>
  <si>
    <t> Moschner&amp;Kleikamp </t>
  </si>
  <si>
    <t>BAVM 52 </t>
  </si>
  <si>
    <t>2448000.520 </t>
  </si>
  <si>
    <t> 19.04.1990 00:28 </t>
  </si>
  <si>
    <t> 0.401 </t>
  </si>
  <si>
    <t>BAVM 59 </t>
  </si>
  <si>
    <t>2453794.4583 </t>
  </si>
  <si>
    <t> 27.02.2006 22:59 </t>
  </si>
  <si>
    <t> 0.5134 </t>
  </si>
  <si>
    <t>C </t>
  </si>
  <si>
    <t>-I</t>
  </si>
  <si>
    <t> Agerer </t>
  </si>
  <si>
    <t>BAVM 178 </t>
  </si>
  <si>
    <t>2454514.7606 </t>
  </si>
  <si>
    <t> 18.02.2008 06:15 </t>
  </si>
  <si>
    <t>5272</t>
  </si>
  <si>
    <t> 0.5306 </t>
  </si>
  <si>
    <t>ns</t>
  </si>
  <si>
    <t> J.Bialozynski </t>
  </si>
  <si>
    <t>JAAVSO 36(2);171 </t>
  </si>
  <si>
    <t>2454982.6946 </t>
  </si>
  <si>
    <t> 31.05.2009 04:40 </t>
  </si>
  <si>
    <t>5361</t>
  </si>
  <si>
    <t> 0.5422 </t>
  </si>
  <si>
    <t> G.Samolyk </t>
  </si>
  <si>
    <t> JAAVSO 38;85 </t>
  </si>
  <si>
    <t>2455592.5874 </t>
  </si>
  <si>
    <t> 31.01.2011 02:05 </t>
  </si>
  <si>
    <t>5477</t>
  </si>
  <si>
    <t> 0.5587 </t>
  </si>
  <si>
    <t> JAAVSO 39;177 </t>
  </si>
  <si>
    <t>2455671.4511 </t>
  </si>
  <si>
    <t> 19.04.2011 22:49 </t>
  </si>
  <si>
    <t>5492</t>
  </si>
  <si>
    <t> 0.5590 </t>
  </si>
  <si>
    <t> F.Agerer </t>
  </si>
  <si>
    <t>BAVM 220 </t>
  </si>
  <si>
    <t>2456407.5296 </t>
  </si>
  <si>
    <t> 25.04.2013 00:42 </t>
  </si>
  <si>
    <t>5632</t>
  </si>
  <si>
    <t> 0.5798 </t>
  </si>
  <si>
    <t>BAVM 232 </t>
  </si>
  <si>
    <t>2456407.5297 </t>
  </si>
  <si>
    <t> 0.5799 </t>
  </si>
  <si>
    <t>B</t>
  </si>
  <si>
    <t>2456712.4752 </t>
  </si>
  <si>
    <t> 23.02.2014 23:24 </t>
  </si>
  <si>
    <t>5690</t>
  </si>
  <si>
    <t> 0.5872 </t>
  </si>
  <si>
    <t>BAVM 238 </t>
  </si>
  <si>
    <t>2426796.401 </t>
  </si>
  <si>
    <t> 29.03.1932 21:37 </t>
  </si>
  <si>
    <t> 0.001 </t>
  </si>
  <si>
    <t>P </t>
  </si>
  <si>
    <t> Strohmeier et al. </t>
  </si>
  <si>
    <t>2427532.394 </t>
  </si>
  <si>
    <t> 04.04.1934 21:27 </t>
  </si>
  <si>
    <t> -0.064 </t>
  </si>
  <si>
    <t>2428310.454 </t>
  </si>
  <si>
    <t> 21.05.1936 22:53 </t>
  </si>
  <si>
    <t> -0.122 </t>
  </si>
  <si>
    <t>2428636.406 </t>
  </si>
  <si>
    <t> 12.04.1937 21:44 </t>
  </si>
  <si>
    <t> -0.138 </t>
  </si>
  <si>
    <t>2428652.379 </t>
  </si>
  <si>
    <t> 28.04.1937 21:05 </t>
  </si>
  <si>
    <t> 0.062 </t>
  </si>
  <si>
    <t>2428962.450 </t>
  </si>
  <si>
    <t> 04.03.1938 22:48 </t>
  </si>
  <si>
    <t> -0.063 </t>
  </si>
  <si>
    <t>2428978.386 </t>
  </si>
  <si>
    <t> 20.03.1938 21:15 </t>
  </si>
  <si>
    <t> 0.101 </t>
  </si>
  <si>
    <t>2428983.415 </t>
  </si>
  <si>
    <t> 25.03.1938 21:57 </t>
  </si>
  <si>
    <t> -0.128 </t>
  </si>
  <si>
    <t>2429367.422 </t>
  </si>
  <si>
    <t> 13.04.1939 22:07 </t>
  </si>
  <si>
    <t> 0.078 </t>
  </si>
  <si>
    <t>2434451.341 </t>
  </si>
  <si>
    <t> 14.03.1953 20:11 </t>
  </si>
  <si>
    <t> -0.059 </t>
  </si>
  <si>
    <t>2436612.401 </t>
  </si>
  <si>
    <t> 12.02.1959 21:37 </t>
  </si>
  <si>
    <t> 0.146 </t>
  </si>
  <si>
    <t>2443131.901 </t>
  </si>
  <si>
    <t> 19.12.1976 09:37 </t>
  </si>
  <si>
    <t> 0.278 </t>
  </si>
  <si>
    <t>V </t>
  </si>
  <si>
    <t> G.Wedemayer </t>
  </si>
  <si>
    <t>2443131.904 </t>
  </si>
  <si>
    <t> 19.12.1976 09:41 </t>
  </si>
  <si>
    <t> 0.281 </t>
  </si>
  <si>
    <t>2443210.785 </t>
  </si>
  <si>
    <t> 08.03.1977 06:50 </t>
  </si>
  <si>
    <t> 0.298 </t>
  </si>
  <si>
    <t>2443436.842 </t>
  </si>
  <si>
    <t> 20.10.1977 08:12 </t>
  </si>
  <si>
    <t> 0.280 </t>
  </si>
  <si>
    <t>2443883.739 </t>
  </si>
  <si>
    <t> 10.01.1979 05:44 </t>
  </si>
  <si>
    <t> 0.285 </t>
  </si>
  <si>
    <t>2444598.788 </t>
  </si>
  <si>
    <t> 25.12.1980 06:54 </t>
  </si>
  <si>
    <t> 0.307 </t>
  </si>
  <si>
    <t>2444640.867 </t>
  </si>
  <si>
    <t> 05.02.1981 08:48 </t>
  </si>
  <si>
    <t> 0.325 </t>
  </si>
  <si>
    <t> G.Hanson </t>
  </si>
  <si>
    <t>2446365.421 </t>
  </si>
  <si>
    <t> 26.10.1985 22:06 </t>
  </si>
  <si>
    <t> H.Grzelczyk </t>
  </si>
  <si>
    <t>2452616.7361 </t>
  </si>
  <si>
    <t> 08.12.2002 05:39 </t>
  </si>
  <si>
    <t> 0.4835 </t>
  </si>
  <si>
    <t>2453473.7361 </t>
  </si>
  <si>
    <t> 13.04.2005 05:39 </t>
  </si>
  <si>
    <t> 0.5020 </t>
  </si>
  <si>
    <t>2453505.287 </t>
  </si>
  <si>
    <t> 14.05.2005 18:53 </t>
  </si>
  <si>
    <t> 0.508 </t>
  </si>
  <si>
    <t> S.Cook </t>
  </si>
  <si>
    <t>2454125.6911 </t>
  </si>
  <si>
    <t> 25.01.2007 04:35 </t>
  </si>
  <si>
    <t>5198</t>
  </si>
  <si>
    <t> 0.5202 </t>
  </si>
  <si>
    <t>2454146.7222 </t>
  </si>
  <si>
    <t> 15.02.2007 05:19 </t>
  </si>
  <si>
    <t>5202</t>
  </si>
  <si>
    <t> 0.5211 </t>
  </si>
  <si>
    <t>2455219.2910 </t>
  </si>
  <si>
    <t> 22.01.2010 18:59 </t>
  </si>
  <si>
    <t>5406</t>
  </si>
  <si>
    <t> 0.5487 </t>
  </si>
  <si>
    <t> H.Itoh </t>
  </si>
  <si>
    <t>2455592.5821 </t>
  </si>
  <si>
    <t> 31.01.2011 01:58 </t>
  </si>
  <si>
    <t> 0.5534 </t>
  </si>
  <si>
    <t> M.Magris </t>
  </si>
  <si>
    <t>2457080.5151 </t>
  </si>
  <si>
    <t> 27.02.2015 00:21 </t>
  </si>
  <si>
    <t>5760</t>
  </si>
  <si>
    <t> 0.5983 </t>
  </si>
  <si>
    <t>BAVM 241 (=IBVS 6157) </t>
  </si>
  <si>
    <t>JAAVSO 51,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</si>
</sst>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5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/>
    <xf numFmtId="0" fontId="13" fillId="0" borderId="0"/>
  </cellStyleXfs>
  <cellXfs count="6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 wrapText="1"/>
    </xf>
    <xf numFmtId="0" fontId="10" fillId="0" borderId="0" xfId="7" applyFont="1" applyAlignment="1">
      <alignment horizontal="left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2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2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/>
    <xf numFmtId="166" fontId="13" fillId="0" borderId="0" xfId="0" applyNumberFormat="1" applyFont="1" applyAlignment="1"/>
    <xf numFmtId="167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UMa - O-C Diagr.</a:t>
            </a:r>
          </a:p>
        </c:rich>
      </c:tx>
      <c:layout>
        <c:manualLayout>
          <c:xMode val="edge"/>
          <c:yMode val="edge"/>
          <c:x val="0.3439853570935211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01518078813439"/>
          <c:y val="0.23584978088695488"/>
          <c:w val="0.79135410978077803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Active!$H$21:$H$640</c:f>
              <c:numCache>
                <c:formatCode>General</c:formatCode>
                <c:ptCount val="620"/>
                <c:pt idx="0">
                  <c:v>0</c:v>
                </c:pt>
                <c:pt idx="1">
                  <c:v>1.0000000002037268E-3</c:v>
                </c:pt>
                <c:pt idx="2">
                  <c:v>-6.3700000002427259E-2</c:v>
                </c:pt>
                <c:pt idx="3">
                  <c:v>-0.12183999999979278</c:v>
                </c:pt>
                <c:pt idx="4">
                  <c:v>-0.13825000000360887</c:v>
                </c:pt>
                <c:pt idx="5">
                  <c:v>6.2084999997750856E-2</c:v>
                </c:pt>
                <c:pt idx="6">
                  <c:v>-6.2659999999596039E-2</c:v>
                </c:pt>
                <c:pt idx="7">
                  <c:v>0.10067499999786378</c:v>
                </c:pt>
                <c:pt idx="8">
                  <c:v>-0.12788000000000466</c:v>
                </c:pt>
                <c:pt idx="9">
                  <c:v>7.760499999858439E-2</c:v>
                </c:pt>
                <c:pt idx="10">
                  <c:v>-5.9079999999084976E-2</c:v>
                </c:pt>
                <c:pt idx="11">
                  <c:v>0.14581499999621883</c:v>
                </c:pt>
                <c:pt idx="12">
                  <c:v>0.27761499999905936</c:v>
                </c:pt>
                <c:pt idx="13">
                  <c:v>0.28061500000330852</c:v>
                </c:pt>
                <c:pt idx="14">
                  <c:v>0.29829000000609085</c:v>
                </c:pt>
                <c:pt idx="15">
                  <c:v>0.28042499999719439</c:v>
                </c:pt>
                <c:pt idx="16">
                  <c:v>0.28525000000081491</c:v>
                </c:pt>
                <c:pt idx="17">
                  <c:v>0.30676999999559484</c:v>
                </c:pt>
                <c:pt idx="18">
                  <c:v>0.32532999999239109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A1-4C85-A8BA-E35C8CA51A3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Active!$I$21:$I$640</c:f>
              <c:numCache>
                <c:formatCode>General</c:formatCode>
                <c:ptCount val="620"/>
                <c:pt idx="19">
                  <c:v>0.40129000000160886</c:v>
                </c:pt>
                <c:pt idx="20">
                  <c:v>0.37219500000355765</c:v>
                </c:pt>
                <c:pt idx="21">
                  <c:v>0.40068499999324558</c:v>
                </c:pt>
                <c:pt idx="22">
                  <c:v>0.4834950000004028</c:v>
                </c:pt>
                <c:pt idx="23">
                  <c:v>0.50202999999601161</c:v>
                </c:pt>
                <c:pt idx="24">
                  <c:v>0.50759999999718275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A1-4C85-A8BA-E35C8CA51A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Active!$J$21:$J$640</c:f>
              <c:numCache>
                <c:formatCode>General</c:formatCode>
                <c:ptCount val="620"/>
                <c:pt idx="25">
                  <c:v>0.51337499999499414</c:v>
                </c:pt>
                <c:pt idx="34">
                  <c:v>0.55904000000009546</c:v>
                </c:pt>
                <c:pt idx="35">
                  <c:v>0.57983999999851221</c:v>
                </c:pt>
                <c:pt idx="36">
                  <c:v>0.579939999995986</c:v>
                </c:pt>
                <c:pt idx="37">
                  <c:v>0.58724999999685679</c:v>
                </c:pt>
                <c:pt idx="38">
                  <c:v>0.59829999999055872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A1-4C85-A8BA-E35C8CA51A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Active!$K$21:$K$640</c:f>
              <c:numCache>
                <c:formatCode>General</c:formatCode>
                <c:ptCount val="620"/>
                <c:pt idx="26">
                  <c:v>0.52020999999513151</c:v>
                </c:pt>
                <c:pt idx="27">
                  <c:v>0.52108999999472871</c:v>
                </c:pt>
                <c:pt idx="28">
                  <c:v>0.53064000000449596</c:v>
                </c:pt>
                <c:pt idx="29">
                  <c:v>0.54224500000418629</c:v>
                </c:pt>
                <c:pt idx="30">
                  <c:v>0.54866999999649124</c:v>
                </c:pt>
                <c:pt idx="31">
                  <c:v>0.55336499999975786</c:v>
                </c:pt>
                <c:pt idx="32">
                  <c:v>0.55344499999773689</c:v>
                </c:pt>
                <c:pt idx="33">
                  <c:v>0.55866499999683583</c:v>
                </c:pt>
                <c:pt idx="39">
                  <c:v>0.60615500000130851</c:v>
                </c:pt>
                <c:pt idx="40">
                  <c:v>0.61985499999718741</c:v>
                </c:pt>
                <c:pt idx="41">
                  <c:v>0.62511000000085915</c:v>
                </c:pt>
                <c:pt idx="42">
                  <c:v>0.63927999999577878</c:v>
                </c:pt>
                <c:pt idx="43">
                  <c:v>0.63881499999843072</c:v>
                </c:pt>
                <c:pt idx="44">
                  <c:v>0.66496499999630032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A1-4C85-A8BA-E35C8CA51A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Active!$L$21:$L$640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A1-4C85-A8BA-E35C8CA51A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Active!$M$21:$M$640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A1-4C85-A8BA-E35C8CA51A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Active!$N$21:$N$640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A1-4C85-A8BA-E35C8CA51A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Active!$O$21:$O$640</c:f>
              <c:numCache>
                <c:formatCode>General</c:formatCode>
                <c:ptCount val="620"/>
                <c:pt idx="0">
                  <c:v>-0.18433097761994122</c:v>
                </c:pt>
                <c:pt idx="1">
                  <c:v>-0.18433097761994122</c:v>
                </c:pt>
                <c:pt idx="2">
                  <c:v>-0.16535414548988639</c:v>
                </c:pt>
                <c:pt idx="3">
                  <c:v>-0.14529292295239987</c:v>
                </c:pt>
                <c:pt idx="4">
                  <c:v>-0.13688889729480419</c:v>
                </c:pt>
                <c:pt idx="5">
                  <c:v>-0.13648225089201729</c:v>
                </c:pt>
                <c:pt idx="6">
                  <c:v>-0.12848487163720848</c:v>
                </c:pt>
                <c:pt idx="7">
                  <c:v>-0.12807822523442158</c:v>
                </c:pt>
                <c:pt idx="8">
                  <c:v>-0.12794267643349261</c:v>
                </c:pt>
                <c:pt idx="9">
                  <c:v>-0.11804761396567832</c:v>
                </c:pt>
                <c:pt idx="10">
                  <c:v>1.3028076532628885E-2</c:v>
                </c:pt>
                <c:pt idx="11">
                  <c:v>6.8738633714432673E-2</c:v>
                </c:pt>
                <c:pt idx="12">
                  <c:v>0.23681914686634675</c:v>
                </c:pt>
                <c:pt idx="13">
                  <c:v>0.23681914686634675</c:v>
                </c:pt>
                <c:pt idx="14">
                  <c:v>0.23885237888028121</c:v>
                </c:pt>
                <c:pt idx="15">
                  <c:v>0.24468097732022659</c:v>
                </c:pt>
                <c:pt idx="16">
                  <c:v>0.25620262539918842</c:v>
                </c:pt>
                <c:pt idx="17">
                  <c:v>0.27463726232552743</c:v>
                </c:pt>
                <c:pt idx="18">
                  <c:v>0.27572165273295912</c:v>
                </c:pt>
                <c:pt idx="19">
                  <c:v>0.32018165943765897</c:v>
                </c:pt>
                <c:pt idx="20">
                  <c:v>0.35122233485039145</c:v>
                </c:pt>
                <c:pt idx="21">
                  <c:v>0.36233733652656641</c:v>
                </c:pt>
                <c:pt idx="22">
                  <c:v>0.48134918374219593</c:v>
                </c:pt>
                <c:pt idx="23">
                  <c:v>0.50344363829361694</c:v>
                </c:pt>
                <c:pt idx="24">
                  <c:v>0.50425693109919068</c:v>
                </c:pt>
                <c:pt idx="25">
                  <c:v>0.5117121151502837</c:v>
                </c:pt>
                <c:pt idx="26">
                  <c:v>0.5202516896088083</c:v>
                </c:pt>
                <c:pt idx="27">
                  <c:v>0.5207938848125242</c:v>
                </c:pt>
                <c:pt idx="28">
                  <c:v>0.53028230087755157</c:v>
                </c:pt>
                <c:pt idx="29">
                  <c:v>0.5423461441602293</c:v>
                </c:pt>
                <c:pt idx="30">
                  <c:v>0.54844584020203258</c:v>
                </c:pt>
                <c:pt idx="31">
                  <c:v>0.55806980506798898</c:v>
                </c:pt>
                <c:pt idx="32">
                  <c:v>0.55806980506798898</c:v>
                </c:pt>
                <c:pt idx="33">
                  <c:v>0.55806980506798898</c:v>
                </c:pt>
                <c:pt idx="34">
                  <c:v>0.56010303708192344</c:v>
                </c:pt>
                <c:pt idx="35">
                  <c:v>0.57907986921197829</c:v>
                </c:pt>
                <c:pt idx="36">
                  <c:v>0.57907986921197829</c:v>
                </c:pt>
                <c:pt idx="37">
                  <c:v>0.58694169966585807</c:v>
                </c:pt>
                <c:pt idx="38">
                  <c:v>0.59643011573088556</c:v>
                </c:pt>
                <c:pt idx="39">
                  <c:v>0.60442749498569437</c:v>
                </c:pt>
                <c:pt idx="40">
                  <c:v>0.61527139906001138</c:v>
                </c:pt>
                <c:pt idx="41">
                  <c:v>0.62597975433339947</c:v>
                </c:pt>
                <c:pt idx="42">
                  <c:v>0.63492597519471095</c:v>
                </c:pt>
                <c:pt idx="43">
                  <c:v>0.64075457363465638</c:v>
                </c:pt>
                <c:pt idx="44">
                  <c:v>0.6692198218297386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A1-4C85-A8BA-E35C8CA5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1512"/>
        <c:axId val="1"/>
      </c:scatterChart>
      <c:valAx>
        <c:axId val="934901512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176879205889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7067669172932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15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97764095277562"/>
          <c:y val="0.91195232671387771"/>
          <c:w val="0.78759477433741831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UMa - O-C Diagr.</a:t>
            </a:r>
          </a:p>
        </c:rich>
      </c:tx>
      <c:layout>
        <c:manualLayout>
          <c:xMode val="edge"/>
          <c:yMode val="edge"/>
          <c:x val="0.34521575984990621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9380863039401"/>
          <c:y val="0.23511007774245343"/>
          <c:w val="0.79549718574108819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Active!$H$21:$H$640</c:f>
              <c:numCache>
                <c:formatCode>General</c:formatCode>
                <c:ptCount val="620"/>
                <c:pt idx="0">
                  <c:v>0</c:v>
                </c:pt>
                <c:pt idx="1">
                  <c:v>1.0000000002037268E-3</c:v>
                </c:pt>
                <c:pt idx="2">
                  <c:v>-6.3700000002427259E-2</c:v>
                </c:pt>
                <c:pt idx="3">
                  <c:v>-0.12183999999979278</c:v>
                </c:pt>
                <c:pt idx="4">
                  <c:v>-0.13825000000360887</c:v>
                </c:pt>
                <c:pt idx="5">
                  <c:v>6.2084999997750856E-2</c:v>
                </c:pt>
                <c:pt idx="6">
                  <c:v>-6.2659999999596039E-2</c:v>
                </c:pt>
                <c:pt idx="7">
                  <c:v>0.10067499999786378</c:v>
                </c:pt>
                <c:pt idx="8">
                  <c:v>-0.12788000000000466</c:v>
                </c:pt>
                <c:pt idx="9">
                  <c:v>7.760499999858439E-2</c:v>
                </c:pt>
                <c:pt idx="10">
                  <c:v>-5.9079999999084976E-2</c:v>
                </c:pt>
                <c:pt idx="11">
                  <c:v>0.14581499999621883</c:v>
                </c:pt>
                <c:pt idx="12">
                  <c:v>0.27761499999905936</c:v>
                </c:pt>
                <c:pt idx="13">
                  <c:v>0.28061500000330852</c:v>
                </c:pt>
                <c:pt idx="14">
                  <c:v>0.29829000000609085</c:v>
                </c:pt>
                <c:pt idx="15">
                  <c:v>0.28042499999719439</c:v>
                </c:pt>
                <c:pt idx="16">
                  <c:v>0.28525000000081491</c:v>
                </c:pt>
                <c:pt idx="17">
                  <c:v>0.30676999999559484</c:v>
                </c:pt>
                <c:pt idx="18">
                  <c:v>0.32532999999239109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03-40A3-8FDD-C9CC1884E7E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Active!$I$21:$I$640</c:f>
              <c:numCache>
                <c:formatCode>General</c:formatCode>
                <c:ptCount val="620"/>
                <c:pt idx="19">
                  <c:v>0.40129000000160886</c:v>
                </c:pt>
                <c:pt idx="20">
                  <c:v>0.37219500000355765</c:v>
                </c:pt>
                <c:pt idx="21">
                  <c:v>0.40068499999324558</c:v>
                </c:pt>
                <c:pt idx="22">
                  <c:v>0.4834950000004028</c:v>
                </c:pt>
                <c:pt idx="23">
                  <c:v>0.50202999999601161</c:v>
                </c:pt>
                <c:pt idx="24">
                  <c:v>0.50759999999718275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03-40A3-8FDD-C9CC1884E7E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Active!$J$21:$J$640</c:f>
              <c:numCache>
                <c:formatCode>General</c:formatCode>
                <c:ptCount val="620"/>
                <c:pt idx="25">
                  <c:v>0.51337499999499414</c:v>
                </c:pt>
                <c:pt idx="34">
                  <c:v>0.55904000000009546</c:v>
                </c:pt>
                <c:pt idx="35">
                  <c:v>0.57983999999851221</c:v>
                </c:pt>
                <c:pt idx="36">
                  <c:v>0.579939999995986</c:v>
                </c:pt>
                <c:pt idx="37">
                  <c:v>0.58724999999685679</c:v>
                </c:pt>
                <c:pt idx="38">
                  <c:v>0.59829999999055872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03-40A3-8FDD-C9CC1884E7E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Active!$K$21:$K$640</c:f>
              <c:numCache>
                <c:formatCode>General</c:formatCode>
                <c:ptCount val="620"/>
                <c:pt idx="26">
                  <c:v>0.52020999999513151</c:v>
                </c:pt>
                <c:pt idx="27">
                  <c:v>0.52108999999472871</c:v>
                </c:pt>
                <c:pt idx="28">
                  <c:v>0.53064000000449596</c:v>
                </c:pt>
                <c:pt idx="29">
                  <c:v>0.54224500000418629</c:v>
                </c:pt>
                <c:pt idx="30">
                  <c:v>0.54866999999649124</c:v>
                </c:pt>
                <c:pt idx="31">
                  <c:v>0.55336499999975786</c:v>
                </c:pt>
                <c:pt idx="32">
                  <c:v>0.55344499999773689</c:v>
                </c:pt>
                <c:pt idx="33">
                  <c:v>0.55866499999683583</c:v>
                </c:pt>
                <c:pt idx="39">
                  <c:v>0.60615500000130851</c:v>
                </c:pt>
                <c:pt idx="40">
                  <c:v>0.61985499999718741</c:v>
                </c:pt>
                <c:pt idx="41">
                  <c:v>0.62511000000085915</c:v>
                </c:pt>
                <c:pt idx="42">
                  <c:v>0.63927999999577878</c:v>
                </c:pt>
                <c:pt idx="43">
                  <c:v>0.63881499999843072</c:v>
                </c:pt>
                <c:pt idx="44">
                  <c:v>0.66496499999630032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03-40A3-8FDD-C9CC1884E7E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Active!$L$21:$L$640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03-40A3-8FDD-C9CC1884E7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Active!$M$21:$M$640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03-40A3-8FDD-C9CC1884E7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Active!$N$21:$N$640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03-40A3-8FDD-C9CC1884E7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0</c:v>
                </c:pt>
                <c:pt idx="1">
                  <c:v>0</c:v>
                </c:pt>
                <c:pt idx="2">
                  <c:v>140</c:v>
                </c:pt>
                <c:pt idx="3">
                  <c:v>288</c:v>
                </c:pt>
                <c:pt idx="4">
                  <c:v>350</c:v>
                </c:pt>
                <c:pt idx="5">
                  <c:v>353</c:v>
                </c:pt>
                <c:pt idx="6">
                  <c:v>412</c:v>
                </c:pt>
                <c:pt idx="7">
                  <c:v>415</c:v>
                </c:pt>
                <c:pt idx="8">
                  <c:v>416</c:v>
                </c:pt>
                <c:pt idx="9">
                  <c:v>489</c:v>
                </c:pt>
                <c:pt idx="10">
                  <c:v>1456</c:v>
                </c:pt>
                <c:pt idx="11">
                  <c:v>1867</c:v>
                </c:pt>
                <c:pt idx="12">
                  <c:v>3107</c:v>
                </c:pt>
                <c:pt idx="13">
                  <c:v>3107</c:v>
                </c:pt>
                <c:pt idx="14">
                  <c:v>3122</c:v>
                </c:pt>
                <c:pt idx="15">
                  <c:v>3165</c:v>
                </c:pt>
                <c:pt idx="16">
                  <c:v>3250</c:v>
                </c:pt>
                <c:pt idx="17">
                  <c:v>3386</c:v>
                </c:pt>
                <c:pt idx="18">
                  <c:v>3394</c:v>
                </c:pt>
                <c:pt idx="19">
                  <c:v>3722</c:v>
                </c:pt>
                <c:pt idx="20">
                  <c:v>3951</c:v>
                </c:pt>
                <c:pt idx="21">
                  <c:v>4033</c:v>
                </c:pt>
                <c:pt idx="22">
                  <c:v>4911</c:v>
                </c:pt>
                <c:pt idx="23">
                  <c:v>5074</c:v>
                </c:pt>
                <c:pt idx="24">
                  <c:v>5080</c:v>
                </c:pt>
                <c:pt idx="25">
                  <c:v>5135</c:v>
                </c:pt>
                <c:pt idx="26">
                  <c:v>5198</c:v>
                </c:pt>
                <c:pt idx="27">
                  <c:v>5202</c:v>
                </c:pt>
                <c:pt idx="28">
                  <c:v>5272</c:v>
                </c:pt>
                <c:pt idx="29">
                  <c:v>5361</c:v>
                </c:pt>
                <c:pt idx="30">
                  <c:v>5406</c:v>
                </c:pt>
                <c:pt idx="31">
                  <c:v>5477</c:v>
                </c:pt>
                <c:pt idx="32">
                  <c:v>5477</c:v>
                </c:pt>
                <c:pt idx="33">
                  <c:v>5477</c:v>
                </c:pt>
                <c:pt idx="34">
                  <c:v>5492</c:v>
                </c:pt>
                <c:pt idx="35">
                  <c:v>5632</c:v>
                </c:pt>
                <c:pt idx="36">
                  <c:v>5632</c:v>
                </c:pt>
                <c:pt idx="37">
                  <c:v>5690</c:v>
                </c:pt>
                <c:pt idx="38">
                  <c:v>5760</c:v>
                </c:pt>
                <c:pt idx="39">
                  <c:v>5819</c:v>
                </c:pt>
                <c:pt idx="40">
                  <c:v>5899</c:v>
                </c:pt>
                <c:pt idx="41">
                  <c:v>5978</c:v>
                </c:pt>
                <c:pt idx="42">
                  <c:v>6044</c:v>
                </c:pt>
                <c:pt idx="43">
                  <c:v>6087</c:v>
                </c:pt>
                <c:pt idx="44">
                  <c:v>6297</c:v>
                </c:pt>
              </c:numCache>
            </c:numRef>
          </c:xVal>
          <c:yVal>
            <c:numRef>
              <c:f>Active!$O$21:$O$640</c:f>
              <c:numCache>
                <c:formatCode>General</c:formatCode>
                <c:ptCount val="620"/>
                <c:pt idx="0">
                  <c:v>-0.18433097761994122</c:v>
                </c:pt>
                <c:pt idx="1">
                  <c:v>-0.18433097761994122</c:v>
                </c:pt>
                <c:pt idx="2">
                  <c:v>-0.16535414548988639</c:v>
                </c:pt>
                <c:pt idx="3">
                  <c:v>-0.14529292295239987</c:v>
                </c:pt>
                <c:pt idx="4">
                  <c:v>-0.13688889729480419</c:v>
                </c:pt>
                <c:pt idx="5">
                  <c:v>-0.13648225089201729</c:v>
                </c:pt>
                <c:pt idx="6">
                  <c:v>-0.12848487163720848</c:v>
                </c:pt>
                <c:pt idx="7">
                  <c:v>-0.12807822523442158</c:v>
                </c:pt>
                <c:pt idx="8">
                  <c:v>-0.12794267643349261</c:v>
                </c:pt>
                <c:pt idx="9">
                  <c:v>-0.11804761396567832</c:v>
                </c:pt>
                <c:pt idx="10">
                  <c:v>1.3028076532628885E-2</c:v>
                </c:pt>
                <c:pt idx="11">
                  <c:v>6.8738633714432673E-2</c:v>
                </c:pt>
                <c:pt idx="12">
                  <c:v>0.23681914686634675</c:v>
                </c:pt>
                <c:pt idx="13">
                  <c:v>0.23681914686634675</c:v>
                </c:pt>
                <c:pt idx="14">
                  <c:v>0.23885237888028121</c:v>
                </c:pt>
                <c:pt idx="15">
                  <c:v>0.24468097732022659</c:v>
                </c:pt>
                <c:pt idx="16">
                  <c:v>0.25620262539918842</c:v>
                </c:pt>
                <c:pt idx="17">
                  <c:v>0.27463726232552743</c:v>
                </c:pt>
                <c:pt idx="18">
                  <c:v>0.27572165273295912</c:v>
                </c:pt>
                <c:pt idx="19">
                  <c:v>0.32018165943765897</c:v>
                </c:pt>
                <c:pt idx="20">
                  <c:v>0.35122233485039145</c:v>
                </c:pt>
                <c:pt idx="21">
                  <c:v>0.36233733652656641</c:v>
                </c:pt>
                <c:pt idx="22">
                  <c:v>0.48134918374219593</c:v>
                </c:pt>
                <c:pt idx="23">
                  <c:v>0.50344363829361694</c:v>
                </c:pt>
                <c:pt idx="24">
                  <c:v>0.50425693109919068</c:v>
                </c:pt>
                <c:pt idx="25">
                  <c:v>0.5117121151502837</c:v>
                </c:pt>
                <c:pt idx="26">
                  <c:v>0.5202516896088083</c:v>
                </c:pt>
                <c:pt idx="27">
                  <c:v>0.5207938848125242</c:v>
                </c:pt>
                <c:pt idx="28">
                  <c:v>0.53028230087755157</c:v>
                </c:pt>
                <c:pt idx="29">
                  <c:v>0.5423461441602293</c:v>
                </c:pt>
                <c:pt idx="30">
                  <c:v>0.54844584020203258</c:v>
                </c:pt>
                <c:pt idx="31">
                  <c:v>0.55806980506798898</c:v>
                </c:pt>
                <c:pt idx="32">
                  <c:v>0.55806980506798898</c:v>
                </c:pt>
                <c:pt idx="33">
                  <c:v>0.55806980506798898</c:v>
                </c:pt>
                <c:pt idx="34">
                  <c:v>0.56010303708192344</c:v>
                </c:pt>
                <c:pt idx="35">
                  <c:v>0.57907986921197829</c:v>
                </c:pt>
                <c:pt idx="36">
                  <c:v>0.57907986921197829</c:v>
                </c:pt>
                <c:pt idx="37">
                  <c:v>0.58694169966585807</c:v>
                </c:pt>
                <c:pt idx="38">
                  <c:v>0.59643011573088556</c:v>
                </c:pt>
                <c:pt idx="39">
                  <c:v>0.60442749498569437</c:v>
                </c:pt>
                <c:pt idx="40">
                  <c:v>0.61527139906001138</c:v>
                </c:pt>
                <c:pt idx="41">
                  <c:v>0.62597975433339947</c:v>
                </c:pt>
                <c:pt idx="42">
                  <c:v>0.63492597519471095</c:v>
                </c:pt>
                <c:pt idx="43">
                  <c:v>0.64075457363465638</c:v>
                </c:pt>
                <c:pt idx="44">
                  <c:v>0.6692198218297386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03-40A3-8FDD-C9CC1884E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0200"/>
        <c:axId val="1"/>
      </c:scatterChart>
      <c:valAx>
        <c:axId val="93490020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07129455909939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285178236397747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0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96060037523453"/>
          <c:y val="0.91222702177901738"/>
          <c:w val="0.7861163227016885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0</xdr:rowOff>
    </xdr:from>
    <xdr:to>
      <xdr:col>17</xdr:col>
      <xdr:colOff>571499</xdr:colOff>
      <xdr:row>18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9BF9236-DF35-4A54-224B-9F593337A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</xdr:colOff>
      <xdr:row>0</xdr:row>
      <xdr:rowOff>0</xdr:rowOff>
    </xdr:from>
    <xdr:to>
      <xdr:col>26</xdr:col>
      <xdr:colOff>647701</xdr:colOff>
      <xdr:row>18</xdr:row>
      <xdr:rowOff>114300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2515D84-57FF-C8C1-625D-855B6E54B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232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59" TargetMode="External"/><Relationship Id="rId1" Type="http://schemas.openxmlformats.org/officeDocument/2006/relationships/hyperlink" Target="http://www.bav-astro.de/sfs/BAVM_link.php?BAVMnr=52" TargetMode="External"/><Relationship Id="rId6" Type="http://schemas.openxmlformats.org/officeDocument/2006/relationships/hyperlink" Target="http://www.bav-astro.de/sfs/BAVM_link.php?BAVMnr=232" TargetMode="External"/><Relationship Id="rId11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aavso.org/sites/default/files/jaavso/v36n2/171.pdf" TargetMode="External"/><Relationship Id="rId9" Type="http://schemas.openxmlformats.org/officeDocument/2006/relationships/hyperlink" Target="http://www.bav-astro.de/sfs/BAVM_link.php?BAVMnr=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4"/>
  <sheetViews>
    <sheetView tabSelected="1" workbookViewId="0">
      <pane xSplit="14" ySplit="22" topLeftCell="O46" activePane="bottomRight" state="frozen"/>
      <selection pane="topRight" activeCell="O1" sqref="O1"/>
      <selection pane="bottomLeft" activeCell="A23" sqref="A23"/>
      <selection pane="bottomRight" activeCell="A65" sqref="A65"/>
    </sheetView>
  </sheetViews>
  <sheetFormatPr defaultColWidth="10.28515625" defaultRowHeight="12.75" x14ac:dyDescent="0.2"/>
  <cols>
    <col min="1" max="1" width="16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26796.400000000001</v>
      </c>
      <c r="D4" s="6">
        <v>5.257555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26796.400000000001</v>
      </c>
    </row>
    <row r="8" spans="1:6" x14ac:dyDescent="0.2">
      <c r="A8" s="1" t="s">
        <v>8</v>
      </c>
      <c r="C8" s="1">
        <f>+D4</f>
        <v>5.257555</v>
      </c>
    </row>
    <row r="9" spans="1:6" x14ac:dyDescent="0.2">
      <c r="A9" s="9" t="s">
        <v>9</v>
      </c>
      <c r="B9" s="10">
        <v>46</v>
      </c>
      <c r="C9" s="11" t="str">
        <f>"F"&amp;B9</f>
        <v>F46</v>
      </c>
      <c r="D9" s="12" t="str">
        <f>"G"&amp;B9</f>
        <v>G46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INTERCEPT(INDIRECT($D$9):G992,INDIRECT($C$9):F992)</f>
        <v>-0.18433097761994122</v>
      </c>
      <c r="D11" s="15"/>
      <c r="E11"/>
    </row>
    <row r="12" spans="1:6" x14ac:dyDescent="0.2">
      <c r="A12" t="s">
        <v>13</v>
      </c>
      <c r="B12"/>
      <c r="C12" s="14">
        <f ca="1">SLOPE(INDIRECT($D$9):G992,INDIRECT($C$9):F992)</f>
        <v>1.3554880092896297E-4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(C7+C11)+(C8+C12)*INT(MAX(F21:F3533))</f>
        <v>59903.893054821834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5.2576905488009293</v>
      </c>
      <c r="E16" s="9" t="s">
        <v>19</v>
      </c>
      <c r="F16" s="14">
        <f ca="1">NOW()+15018.5+$C$5/24</f>
        <v>60378.67461631944</v>
      </c>
    </row>
    <row r="17" spans="1:17" x14ac:dyDescent="0.2">
      <c r="A17" s="9" t="s">
        <v>20</v>
      </c>
      <c r="B17"/>
      <c r="C17">
        <f>COUNT(C21:C2191)</f>
        <v>45</v>
      </c>
      <c r="E17" s="9" t="s">
        <v>21</v>
      </c>
      <c r="F17" s="14">
        <f ca="1">ROUND(2*(F16-$C$7)/$C$8,0)/2+F15</f>
        <v>6388.5</v>
      </c>
    </row>
    <row r="18" spans="1:17" x14ac:dyDescent="0.2">
      <c r="A18" s="16" t="s">
        <v>22</v>
      </c>
      <c r="B18"/>
      <c r="C18" s="18">
        <f ca="1">+C15</f>
        <v>59903.893054821834</v>
      </c>
      <c r="D18" s="19">
        <f ca="1">+C16</f>
        <v>5.2576905488009293</v>
      </c>
      <c r="E18" s="9" t="s">
        <v>23</v>
      </c>
      <c r="F18" s="12">
        <f ca="1">ROUND(2*(F16-$C$15)/$C$16,0)/2+F15</f>
        <v>91.5</v>
      </c>
    </row>
    <row r="19" spans="1:17" x14ac:dyDescent="0.2">
      <c r="E19" s="9" t="s">
        <v>24</v>
      </c>
      <c r="F19" s="20">
        <f ca="1">+$C$15+$C$16*F18-15018.5-$C$5/24</f>
        <v>45366.867573370451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</row>
    <row r="21" spans="1:17" x14ac:dyDescent="0.2">
      <c r="A21" s="1" t="s">
        <v>42</v>
      </c>
      <c r="C21" s="22">
        <v>26796.400000000001</v>
      </c>
      <c r="D21" s="22" t="s">
        <v>15</v>
      </c>
      <c r="E21" s="1">
        <f t="shared" ref="E21:E59" si="0">+(C21-C$7)/C$8</f>
        <v>0</v>
      </c>
      <c r="F21" s="1">
        <f t="shared" ref="F21:F61" si="1">ROUND(2*E21,0)/2</f>
        <v>0</v>
      </c>
      <c r="G21" s="1">
        <f t="shared" ref="G21:G59" si="2">+C21-(C$7+F21*C$8)</f>
        <v>0</v>
      </c>
      <c r="H21" s="1">
        <f t="shared" ref="H21:H39" si="3">+G21</f>
        <v>0</v>
      </c>
      <c r="O21" s="1">
        <f t="shared" ref="O21:O59" ca="1" si="4">+C$11+C$12*$F21</f>
        <v>-0.18433097761994122</v>
      </c>
      <c r="Q21" s="58">
        <f t="shared" ref="Q21:Q59" si="5">+C21-15018.5</f>
        <v>11777.900000000001</v>
      </c>
    </row>
    <row r="22" spans="1:17" x14ac:dyDescent="0.2">
      <c r="A22" s="23" t="s">
        <v>43</v>
      </c>
      <c r="B22" s="24" t="s">
        <v>44</v>
      </c>
      <c r="C22" s="25">
        <v>26796.401000000002</v>
      </c>
      <c r="D22" s="22"/>
      <c r="E22" s="1">
        <f t="shared" si="0"/>
        <v>1.9020248008888671E-4</v>
      </c>
      <c r="F22" s="1">
        <f t="shared" si="1"/>
        <v>0</v>
      </c>
      <c r="G22" s="1">
        <f t="shared" si="2"/>
        <v>1.0000000002037268E-3</v>
      </c>
      <c r="H22" s="1">
        <f t="shared" si="3"/>
        <v>1.0000000002037268E-3</v>
      </c>
      <c r="O22" s="1">
        <f t="shared" ca="1" si="4"/>
        <v>-0.18433097761994122</v>
      </c>
      <c r="Q22" s="58">
        <f t="shared" si="5"/>
        <v>11777.901000000002</v>
      </c>
    </row>
    <row r="23" spans="1:17" x14ac:dyDescent="0.2">
      <c r="A23" s="23" t="s">
        <v>43</v>
      </c>
      <c r="B23" s="24" t="s">
        <v>44</v>
      </c>
      <c r="C23" s="25">
        <v>27532.394</v>
      </c>
      <c r="D23" s="22"/>
      <c r="E23" s="1">
        <f t="shared" si="0"/>
        <v>139.98788410202059</v>
      </c>
      <c r="F23" s="1">
        <f t="shared" si="1"/>
        <v>140</v>
      </c>
      <c r="G23" s="1">
        <f t="shared" si="2"/>
        <v>-6.3700000002427259E-2</v>
      </c>
      <c r="H23" s="1">
        <f t="shared" si="3"/>
        <v>-6.3700000002427259E-2</v>
      </c>
      <c r="O23" s="1">
        <f t="shared" ca="1" si="4"/>
        <v>-0.16535414548988639</v>
      </c>
      <c r="Q23" s="58">
        <f t="shared" si="5"/>
        <v>12513.894</v>
      </c>
    </row>
    <row r="24" spans="1:17" x14ac:dyDescent="0.2">
      <c r="A24" s="23" t="s">
        <v>43</v>
      </c>
      <c r="B24" s="24" t="s">
        <v>44</v>
      </c>
      <c r="C24" s="25">
        <v>28310.454000000002</v>
      </c>
      <c r="D24" s="22"/>
      <c r="E24" s="1">
        <f t="shared" si="0"/>
        <v>287.97682572983069</v>
      </c>
      <c r="F24" s="1">
        <f t="shared" si="1"/>
        <v>288</v>
      </c>
      <c r="G24" s="1">
        <f t="shared" si="2"/>
        <v>-0.12183999999979278</v>
      </c>
      <c r="H24" s="1">
        <f t="shared" si="3"/>
        <v>-0.12183999999979278</v>
      </c>
      <c r="O24" s="1">
        <f t="shared" ca="1" si="4"/>
        <v>-0.14529292295239987</v>
      </c>
      <c r="Q24" s="58">
        <f t="shared" si="5"/>
        <v>13291.954000000002</v>
      </c>
    </row>
    <row r="25" spans="1:17" x14ac:dyDescent="0.2">
      <c r="A25" s="23" t="s">
        <v>43</v>
      </c>
      <c r="B25" s="24" t="s">
        <v>44</v>
      </c>
      <c r="C25" s="25">
        <v>28636.405999999999</v>
      </c>
      <c r="D25" s="22"/>
      <c r="E25" s="1">
        <f t="shared" si="0"/>
        <v>349.9737045071326</v>
      </c>
      <c r="F25" s="1">
        <f t="shared" si="1"/>
        <v>350</v>
      </c>
      <c r="G25" s="1">
        <f t="shared" si="2"/>
        <v>-0.13825000000360887</v>
      </c>
      <c r="H25" s="1">
        <f t="shared" si="3"/>
        <v>-0.13825000000360887</v>
      </c>
      <c r="O25" s="1">
        <f t="shared" ca="1" si="4"/>
        <v>-0.13688889729480419</v>
      </c>
      <c r="Q25" s="58">
        <f t="shared" si="5"/>
        <v>13617.905999999999</v>
      </c>
    </row>
    <row r="26" spans="1:17" x14ac:dyDescent="0.2">
      <c r="A26" s="23" t="s">
        <v>43</v>
      </c>
      <c r="B26" s="24" t="s">
        <v>44</v>
      </c>
      <c r="C26" s="25">
        <v>28652.379000000001</v>
      </c>
      <c r="D26" s="22"/>
      <c r="E26" s="1">
        <f t="shared" si="0"/>
        <v>353.01180872097382</v>
      </c>
      <c r="F26" s="1">
        <f t="shared" si="1"/>
        <v>353</v>
      </c>
      <c r="G26" s="1">
        <f t="shared" si="2"/>
        <v>6.2084999997750856E-2</v>
      </c>
      <c r="H26" s="1">
        <f t="shared" si="3"/>
        <v>6.2084999997750856E-2</v>
      </c>
      <c r="O26" s="1">
        <f t="shared" ca="1" si="4"/>
        <v>-0.13648225089201729</v>
      </c>
      <c r="Q26" s="58">
        <f t="shared" si="5"/>
        <v>13633.879000000001</v>
      </c>
    </row>
    <row r="27" spans="1:17" x14ac:dyDescent="0.2">
      <c r="A27" s="23" t="s">
        <v>43</v>
      </c>
      <c r="B27" s="24" t="s">
        <v>44</v>
      </c>
      <c r="C27" s="25">
        <v>28962.45</v>
      </c>
      <c r="D27" s="22"/>
      <c r="E27" s="1">
        <f t="shared" si="0"/>
        <v>411.98808191259991</v>
      </c>
      <c r="F27" s="1">
        <f t="shared" si="1"/>
        <v>412</v>
      </c>
      <c r="G27" s="1">
        <f t="shared" si="2"/>
        <v>-6.2659999999596039E-2</v>
      </c>
      <c r="H27" s="1">
        <f t="shared" si="3"/>
        <v>-6.2659999999596039E-2</v>
      </c>
      <c r="O27" s="1">
        <f t="shared" ca="1" si="4"/>
        <v>-0.12848487163720848</v>
      </c>
      <c r="Q27" s="58">
        <f t="shared" si="5"/>
        <v>13943.95</v>
      </c>
    </row>
    <row r="28" spans="1:17" x14ac:dyDescent="0.2">
      <c r="A28" s="23" t="s">
        <v>43</v>
      </c>
      <c r="B28" s="24" t="s">
        <v>44</v>
      </c>
      <c r="C28" s="25">
        <v>28978.385999999999</v>
      </c>
      <c r="D28" s="22"/>
      <c r="E28" s="1">
        <f t="shared" si="0"/>
        <v>415.01914863467852</v>
      </c>
      <c r="F28" s="1">
        <f t="shared" si="1"/>
        <v>415</v>
      </c>
      <c r="G28" s="1">
        <f t="shared" si="2"/>
        <v>0.10067499999786378</v>
      </c>
      <c r="H28" s="1">
        <f t="shared" si="3"/>
        <v>0.10067499999786378</v>
      </c>
      <c r="O28" s="1">
        <f t="shared" ca="1" si="4"/>
        <v>-0.12807822523442158</v>
      </c>
      <c r="Q28" s="58">
        <f t="shared" si="5"/>
        <v>13959.885999999999</v>
      </c>
    </row>
    <row r="29" spans="1:17" x14ac:dyDescent="0.2">
      <c r="A29" s="23" t="s">
        <v>43</v>
      </c>
      <c r="B29" s="24" t="s">
        <v>44</v>
      </c>
      <c r="C29" s="25">
        <v>28983.415000000001</v>
      </c>
      <c r="D29" s="22"/>
      <c r="E29" s="1">
        <f t="shared" si="0"/>
        <v>415.97567690685111</v>
      </c>
      <c r="F29" s="1">
        <f t="shared" si="1"/>
        <v>416</v>
      </c>
      <c r="G29" s="1">
        <f t="shared" si="2"/>
        <v>-0.12788000000000466</v>
      </c>
      <c r="H29" s="1">
        <f t="shared" si="3"/>
        <v>-0.12788000000000466</v>
      </c>
      <c r="O29" s="1">
        <f t="shared" ca="1" si="4"/>
        <v>-0.12794267643349261</v>
      </c>
      <c r="Q29" s="58">
        <f t="shared" si="5"/>
        <v>13964.915000000001</v>
      </c>
    </row>
    <row r="30" spans="1:17" x14ac:dyDescent="0.2">
      <c r="A30" s="23" t="s">
        <v>43</v>
      </c>
      <c r="B30" s="24" t="s">
        <v>44</v>
      </c>
      <c r="C30" s="25">
        <v>29367.421999999999</v>
      </c>
      <c r="D30" s="22"/>
      <c r="E30" s="1">
        <f t="shared" si="0"/>
        <v>489.01476066346379</v>
      </c>
      <c r="F30" s="1">
        <f t="shared" si="1"/>
        <v>489</v>
      </c>
      <c r="G30" s="1">
        <f t="shared" si="2"/>
        <v>7.760499999858439E-2</v>
      </c>
      <c r="H30" s="1">
        <f t="shared" si="3"/>
        <v>7.760499999858439E-2</v>
      </c>
      <c r="O30" s="1">
        <f t="shared" ca="1" si="4"/>
        <v>-0.11804761396567832</v>
      </c>
      <c r="Q30" s="58">
        <f t="shared" si="5"/>
        <v>14348.921999999999</v>
      </c>
    </row>
    <row r="31" spans="1:17" x14ac:dyDescent="0.2">
      <c r="A31" s="23" t="s">
        <v>43</v>
      </c>
      <c r="B31" s="24" t="s">
        <v>44</v>
      </c>
      <c r="C31" s="25">
        <v>34451.341</v>
      </c>
      <c r="D31" s="22"/>
      <c r="E31" s="1">
        <f t="shared" si="0"/>
        <v>1455.9887628374784</v>
      </c>
      <c r="F31" s="1">
        <f t="shared" si="1"/>
        <v>1456</v>
      </c>
      <c r="G31" s="1">
        <f t="shared" si="2"/>
        <v>-5.9079999999084976E-2</v>
      </c>
      <c r="H31" s="1">
        <f t="shared" si="3"/>
        <v>-5.9079999999084976E-2</v>
      </c>
      <c r="O31" s="1">
        <f t="shared" ca="1" si="4"/>
        <v>1.3028076532628885E-2</v>
      </c>
      <c r="Q31" s="58">
        <f t="shared" si="5"/>
        <v>19432.841</v>
      </c>
    </row>
    <row r="32" spans="1:17" x14ac:dyDescent="0.2">
      <c r="A32" s="23" t="s">
        <v>43</v>
      </c>
      <c r="B32" s="24" t="s">
        <v>44</v>
      </c>
      <c r="C32" s="25">
        <v>36612.400999999998</v>
      </c>
      <c r="D32" s="22"/>
      <c r="E32" s="1">
        <f t="shared" si="0"/>
        <v>1867.0277343746279</v>
      </c>
      <c r="F32" s="1">
        <f t="shared" si="1"/>
        <v>1867</v>
      </c>
      <c r="G32" s="1">
        <f t="shared" si="2"/>
        <v>0.14581499999621883</v>
      </c>
      <c r="H32" s="1">
        <f t="shared" si="3"/>
        <v>0.14581499999621883</v>
      </c>
      <c r="O32" s="1">
        <f t="shared" ca="1" si="4"/>
        <v>6.8738633714432673E-2</v>
      </c>
      <c r="Q32" s="58">
        <f t="shared" si="5"/>
        <v>21593.900999999998</v>
      </c>
    </row>
    <row r="33" spans="1:29" x14ac:dyDescent="0.2">
      <c r="A33" s="23" t="s">
        <v>45</v>
      </c>
      <c r="B33" s="24" t="s">
        <v>44</v>
      </c>
      <c r="C33" s="25">
        <v>43131.900999999998</v>
      </c>
      <c r="D33" s="22"/>
      <c r="E33" s="1">
        <f t="shared" si="0"/>
        <v>3107.0528030614983</v>
      </c>
      <c r="F33" s="1">
        <f t="shared" si="1"/>
        <v>3107</v>
      </c>
      <c r="G33" s="1">
        <f t="shared" si="2"/>
        <v>0.27761499999905936</v>
      </c>
      <c r="H33" s="1">
        <f t="shared" si="3"/>
        <v>0.27761499999905936</v>
      </c>
      <c r="O33" s="1">
        <f t="shared" ca="1" si="4"/>
        <v>0.23681914686634675</v>
      </c>
      <c r="Q33" s="58">
        <f t="shared" si="5"/>
        <v>28113.400999999998</v>
      </c>
    </row>
    <row r="34" spans="1:29" x14ac:dyDescent="0.2">
      <c r="A34" s="23" t="s">
        <v>45</v>
      </c>
      <c r="B34" s="24" t="s">
        <v>44</v>
      </c>
      <c r="C34" s="25">
        <v>43131.904000000002</v>
      </c>
      <c r="D34" s="22"/>
      <c r="E34" s="1">
        <f t="shared" si="0"/>
        <v>3107.0533736689395</v>
      </c>
      <c r="F34" s="1">
        <f t="shared" si="1"/>
        <v>3107</v>
      </c>
      <c r="G34" s="1">
        <f t="shared" si="2"/>
        <v>0.28061500000330852</v>
      </c>
      <c r="H34" s="1">
        <f t="shared" si="3"/>
        <v>0.28061500000330852</v>
      </c>
      <c r="O34" s="1">
        <f t="shared" ca="1" si="4"/>
        <v>0.23681914686634675</v>
      </c>
      <c r="Q34" s="58">
        <f t="shared" si="5"/>
        <v>28113.404000000002</v>
      </c>
    </row>
    <row r="35" spans="1:29" x14ac:dyDescent="0.2">
      <c r="A35" s="23" t="s">
        <v>45</v>
      </c>
      <c r="B35" s="24" t="s">
        <v>44</v>
      </c>
      <c r="C35" s="25">
        <v>43210.785000000003</v>
      </c>
      <c r="D35" s="22"/>
      <c r="E35" s="1">
        <f t="shared" si="0"/>
        <v>3122.0567354977748</v>
      </c>
      <c r="F35" s="1">
        <f t="shared" si="1"/>
        <v>3122</v>
      </c>
      <c r="G35" s="1">
        <f t="shared" si="2"/>
        <v>0.29829000000609085</v>
      </c>
      <c r="H35" s="1">
        <f t="shared" si="3"/>
        <v>0.29829000000609085</v>
      </c>
      <c r="O35" s="1">
        <f t="shared" ca="1" si="4"/>
        <v>0.23885237888028121</v>
      </c>
      <c r="Q35" s="58">
        <f t="shared" si="5"/>
        <v>28192.285000000003</v>
      </c>
    </row>
    <row r="36" spans="1:29" x14ac:dyDescent="0.2">
      <c r="A36" s="23" t="s">
        <v>45</v>
      </c>
      <c r="B36" s="24" t="s">
        <v>44</v>
      </c>
      <c r="C36" s="25">
        <v>43436.841999999997</v>
      </c>
      <c r="D36" s="22"/>
      <c r="E36" s="1">
        <f t="shared" si="0"/>
        <v>3165.0533375304672</v>
      </c>
      <c r="F36" s="1">
        <f t="shared" si="1"/>
        <v>3165</v>
      </c>
      <c r="G36" s="1">
        <f t="shared" si="2"/>
        <v>0.28042499999719439</v>
      </c>
      <c r="H36" s="1">
        <f t="shared" si="3"/>
        <v>0.28042499999719439</v>
      </c>
      <c r="O36" s="1">
        <f t="shared" ca="1" si="4"/>
        <v>0.24468097732022659</v>
      </c>
      <c r="Q36" s="58">
        <f t="shared" si="5"/>
        <v>28418.341999999997</v>
      </c>
    </row>
    <row r="37" spans="1:29" x14ac:dyDescent="0.2">
      <c r="A37" s="23" t="s">
        <v>45</v>
      </c>
      <c r="B37" s="24" t="s">
        <v>44</v>
      </c>
      <c r="C37" s="25">
        <v>43883.739000000001</v>
      </c>
      <c r="D37" s="22"/>
      <c r="E37" s="1">
        <f t="shared" si="0"/>
        <v>3250.0542552574343</v>
      </c>
      <c r="F37" s="1">
        <f t="shared" si="1"/>
        <v>3250</v>
      </c>
      <c r="G37" s="1">
        <f t="shared" si="2"/>
        <v>0.28525000000081491</v>
      </c>
      <c r="H37" s="1">
        <f t="shared" si="3"/>
        <v>0.28525000000081491</v>
      </c>
      <c r="O37" s="1">
        <f t="shared" ca="1" si="4"/>
        <v>0.25620262539918842</v>
      </c>
      <c r="Q37" s="58">
        <f t="shared" si="5"/>
        <v>28865.239000000001</v>
      </c>
    </row>
    <row r="38" spans="1:29" x14ac:dyDescent="0.2">
      <c r="A38" s="23" t="s">
        <v>45</v>
      </c>
      <c r="B38" s="24" t="s">
        <v>44</v>
      </c>
      <c r="C38" s="25">
        <v>44598.788</v>
      </c>
      <c r="D38" s="22"/>
      <c r="E38" s="1">
        <f t="shared" si="0"/>
        <v>3386.0583484148046</v>
      </c>
      <c r="F38" s="1">
        <f t="shared" si="1"/>
        <v>3386</v>
      </c>
      <c r="G38" s="1">
        <f t="shared" si="2"/>
        <v>0.30676999999559484</v>
      </c>
      <c r="H38" s="1">
        <f t="shared" si="3"/>
        <v>0.30676999999559484</v>
      </c>
      <c r="O38" s="1">
        <f t="shared" ca="1" si="4"/>
        <v>0.27463726232552743</v>
      </c>
      <c r="Q38" s="58">
        <f t="shared" si="5"/>
        <v>29580.288</v>
      </c>
    </row>
    <row r="39" spans="1:29" x14ac:dyDescent="0.2">
      <c r="A39" s="23" t="s">
        <v>45</v>
      </c>
      <c r="B39" s="24" t="s">
        <v>44</v>
      </c>
      <c r="C39" s="25">
        <v>44640.866999999998</v>
      </c>
      <c r="D39" s="22"/>
      <c r="E39" s="1">
        <f t="shared" si="0"/>
        <v>3394.0618785728343</v>
      </c>
      <c r="F39" s="1">
        <f t="shared" si="1"/>
        <v>3394</v>
      </c>
      <c r="G39" s="1">
        <f t="shared" si="2"/>
        <v>0.32532999999239109</v>
      </c>
      <c r="H39" s="1">
        <f t="shared" si="3"/>
        <v>0.32532999999239109</v>
      </c>
      <c r="O39" s="1">
        <f t="shared" ca="1" si="4"/>
        <v>0.27572165273295912</v>
      </c>
      <c r="Q39" s="58">
        <f t="shared" si="5"/>
        <v>29622.366999999998</v>
      </c>
    </row>
    <row r="40" spans="1:29" x14ac:dyDescent="0.2">
      <c r="A40" s="23" t="s">
        <v>46</v>
      </c>
      <c r="B40" s="24" t="s">
        <v>44</v>
      </c>
      <c r="C40" s="25">
        <v>46365.421000000002</v>
      </c>
      <c r="D40" s="22"/>
      <c r="E40" s="1">
        <f t="shared" si="0"/>
        <v>3722.0763263532194</v>
      </c>
      <c r="F40" s="1">
        <f t="shared" si="1"/>
        <v>3722</v>
      </c>
      <c r="G40" s="1">
        <f t="shared" si="2"/>
        <v>0.40129000000160886</v>
      </c>
      <c r="I40" s="1">
        <f t="shared" ref="I40:I45" si="6">+G40</f>
        <v>0.40129000000160886</v>
      </c>
      <c r="O40" s="1">
        <f t="shared" ca="1" si="4"/>
        <v>0.32018165943765897</v>
      </c>
      <c r="Q40" s="58">
        <f t="shared" si="5"/>
        <v>31346.921000000002</v>
      </c>
    </row>
    <row r="41" spans="1:29" x14ac:dyDescent="0.2">
      <c r="A41" s="1" t="s">
        <v>47</v>
      </c>
      <c r="C41" s="22">
        <v>47569.372000000003</v>
      </c>
      <c r="D41" s="22"/>
      <c r="E41" s="1">
        <f t="shared" si="0"/>
        <v>3951.0707924120625</v>
      </c>
      <c r="F41" s="1">
        <f t="shared" si="1"/>
        <v>3951</v>
      </c>
      <c r="G41" s="1">
        <f t="shared" si="2"/>
        <v>0.37219500000355765</v>
      </c>
      <c r="I41" s="1">
        <f t="shared" si="6"/>
        <v>0.37219500000355765</v>
      </c>
      <c r="O41" s="1">
        <f t="shared" ca="1" si="4"/>
        <v>0.35122233485039145</v>
      </c>
      <c r="Q41" s="58">
        <f t="shared" si="5"/>
        <v>32550.872000000003</v>
      </c>
      <c r="AA41" s="1" t="s">
        <v>32</v>
      </c>
      <c r="AC41" s="1" t="s">
        <v>48</v>
      </c>
    </row>
    <row r="42" spans="1:29" x14ac:dyDescent="0.2">
      <c r="A42" s="26" t="s">
        <v>49</v>
      </c>
      <c r="B42" s="26"/>
      <c r="C42" s="27">
        <v>48000.52</v>
      </c>
      <c r="D42" s="27"/>
      <c r="E42" s="1">
        <f t="shared" si="0"/>
        <v>4033.0762112807179</v>
      </c>
      <c r="F42" s="1">
        <f t="shared" si="1"/>
        <v>4033</v>
      </c>
      <c r="G42" s="1">
        <f t="shared" si="2"/>
        <v>0.40068499999324558</v>
      </c>
      <c r="I42" s="1">
        <f t="shared" si="6"/>
        <v>0.40068499999324558</v>
      </c>
      <c r="O42" s="1">
        <f t="shared" ca="1" si="4"/>
        <v>0.36233733652656641</v>
      </c>
      <c r="Q42" s="58">
        <f t="shared" si="5"/>
        <v>32982.019999999997</v>
      </c>
      <c r="AA42" s="1" t="s">
        <v>32</v>
      </c>
      <c r="AC42" s="1" t="s">
        <v>48</v>
      </c>
    </row>
    <row r="43" spans="1:29" x14ac:dyDescent="0.2">
      <c r="A43" s="23" t="s">
        <v>45</v>
      </c>
      <c r="B43" s="24" t="s">
        <v>44</v>
      </c>
      <c r="C43" s="25">
        <v>52616.736100000002</v>
      </c>
      <c r="D43" s="22"/>
      <c r="E43" s="1">
        <f t="shared" si="0"/>
        <v>4911.0919619480919</v>
      </c>
      <c r="F43" s="1">
        <f t="shared" si="1"/>
        <v>4911</v>
      </c>
      <c r="G43" s="1">
        <f t="shared" si="2"/>
        <v>0.4834950000004028</v>
      </c>
      <c r="I43" s="1">
        <f t="shared" si="6"/>
        <v>0.4834950000004028</v>
      </c>
      <c r="O43" s="1">
        <f t="shared" ca="1" si="4"/>
        <v>0.48134918374219593</v>
      </c>
      <c r="Q43" s="58">
        <f t="shared" si="5"/>
        <v>37598.236100000002</v>
      </c>
    </row>
    <row r="44" spans="1:29" x14ac:dyDescent="0.2">
      <c r="A44" s="23" t="s">
        <v>45</v>
      </c>
      <c r="B44" s="24" t="s">
        <v>44</v>
      </c>
      <c r="C44" s="25">
        <v>53473.736100000002</v>
      </c>
      <c r="D44" s="22"/>
      <c r="E44" s="1">
        <f t="shared" si="0"/>
        <v>5074.09548735106</v>
      </c>
      <c r="F44" s="1">
        <f t="shared" si="1"/>
        <v>5074</v>
      </c>
      <c r="G44" s="1">
        <f t="shared" si="2"/>
        <v>0.50202999999601161</v>
      </c>
      <c r="I44" s="1">
        <f t="shared" si="6"/>
        <v>0.50202999999601161</v>
      </c>
      <c r="O44" s="1">
        <f t="shared" ca="1" si="4"/>
        <v>0.50344363829361694</v>
      </c>
      <c r="Q44" s="58">
        <f t="shared" si="5"/>
        <v>38455.236100000002</v>
      </c>
    </row>
    <row r="45" spans="1:29" x14ac:dyDescent="0.2">
      <c r="A45" s="23" t="s">
        <v>45</v>
      </c>
      <c r="B45" s="24" t="s">
        <v>44</v>
      </c>
      <c r="C45" s="25">
        <v>53505.286999999997</v>
      </c>
      <c r="D45" s="22"/>
      <c r="E45" s="1">
        <f t="shared" si="0"/>
        <v>5080.0965467788728</v>
      </c>
      <c r="F45" s="1">
        <f t="shared" si="1"/>
        <v>5080</v>
      </c>
      <c r="G45" s="1">
        <f t="shared" si="2"/>
        <v>0.50759999999718275</v>
      </c>
      <c r="I45" s="1">
        <f t="shared" si="6"/>
        <v>0.50759999999718275</v>
      </c>
      <c r="O45" s="1">
        <f t="shared" ca="1" si="4"/>
        <v>0.50425693109919068</v>
      </c>
      <c r="Q45" s="58">
        <f t="shared" si="5"/>
        <v>38486.786999999997</v>
      </c>
    </row>
    <row r="46" spans="1:29" x14ac:dyDescent="0.2">
      <c r="A46" s="28" t="s">
        <v>50</v>
      </c>
      <c r="B46" s="29"/>
      <c r="C46" s="27">
        <v>53794.458299999998</v>
      </c>
      <c r="D46" s="27">
        <v>1.1999999999999999E-3</v>
      </c>
      <c r="E46" s="1">
        <f t="shared" si="0"/>
        <v>5135.0976451981951</v>
      </c>
      <c r="F46" s="1">
        <f t="shared" si="1"/>
        <v>5135</v>
      </c>
      <c r="G46" s="1">
        <f t="shared" si="2"/>
        <v>0.51337499999499414</v>
      </c>
      <c r="J46" s="1">
        <f>+G46</f>
        <v>0.51337499999499414</v>
      </c>
      <c r="O46" s="1">
        <f t="shared" ca="1" si="4"/>
        <v>0.5117121151502837</v>
      </c>
      <c r="Q46" s="58">
        <f t="shared" si="5"/>
        <v>38775.958299999998</v>
      </c>
    </row>
    <row r="47" spans="1:29" x14ac:dyDescent="0.2">
      <c r="A47" s="23" t="s">
        <v>51</v>
      </c>
      <c r="B47" s="24" t="s">
        <v>44</v>
      </c>
      <c r="C47" s="25">
        <v>54125.691099999996</v>
      </c>
      <c r="D47" s="22"/>
      <c r="E47" s="1">
        <f t="shared" si="0"/>
        <v>5198.0989452321455</v>
      </c>
      <c r="F47" s="1">
        <f t="shared" si="1"/>
        <v>5198</v>
      </c>
      <c r="G47" s="1">
        <f t="shared" si="2"/>
        <v>0.52020999999513151</v>
      </c>
      <c r="K47" s="1">
        <f>+G47</f>
        <v>0.52020999999513151</v>
      </c>
      <c r="O47" s="1">
        <f t="shared" ca="1" si="4"/>
        <v>0.5202516896088083</v>
      </c>
      <c r="Q47" s="58">
        <f t="shared" si="5"/>
        <v>39107.191099999996</v>
      </c>
    </row>
    <row r="48" spans="1:29" x14ac:dyDescent="0.2">
      <c r="A48" s="23" t="s">
        <v>51</v>
      </c>
      <c r="B48" s="24" t="s">
        <v>44</v>
      </c>
      <c r="C48" s="25">
        <v>54146.722199999997</v>
      </c>
      <c r="D48" s="22"/>
      <c r="E48" s="1">
        <f t="shared" si="0"/>
        <v>5202.0991126103281</v>
      </c>
      <c r="F48" s="1">
        <f t="shared" si="1"/>
        <v>5202</v>
      </c>
      <c r="G48" s="1">
        <f t="shared" si="2"/>
        <v>0.52108999999472871</v>
      </c>
      <c r="K48" s="1">
        <f>+G48</f>
        <v>0.52108999999472871</v>
      </c>
      <c r="O48" s="1">
        <f t="shared" ca="1" si="4"/>
        <v>0.5207938848125242</v>
      </c>
      <c r="Q48" s="58">
        <f t="shared" si="5"/>
        <v>39128.222199999997</v>
      </c>
    </row>
    <row r="49" spans="1:17" x14ac:dyDescent="0.2">
      <c r="A49" s="28" t="s">
        <v>52</v>
      </c>
      <c r="B49" s="30" t="s">
        <v>44</v>
      </c>
      <c r="C49" s="27">
        <v>54514.760600000001</v>
      </c>
      <c r="D49" s="27">
        <v>2.0000000000000001E-4</v>
      </c>
      <c r="E49" s="1">
        <f t="shared" si="0"/>
        <v>5272.1009290440143</v>
      </c>
      <c r="F49" s="1">
        <f t="shared" si="1"/>
        <v>5272</v>
      </c>
      <c r="G49" s="1">
        <f t="shared" si="2"/>
        <v>0.53064000000449596</v>
      </c>
      <c r="K49" s="1">
        <f t="shared" ref="K49:K61" si="7">+G49</f>
        <v>0.53064000000449596</v>
      </c>
      <c r="O49" s="1">
        <f t="shared" ca="1" si="4"/>
        <v>0.53028230087755157</v>
      </c>
      <c r="Q49" s="58">
        <f t="shared" si="5"/>
        <v>39496.260600000001</v>
      </c>
    </row>
    <row r="50" spans="1:17" x14ac:dyDescent="0.2">
      <c r="A50" s="28" t="s">
        <v>53</v>
      </c>
      <c r="B50" s="30" t="s">
        <v>44</v>
      </c>
      <c r="C50" s="27">
        <v>54982.694600000003</v>
      </c>
      <c r="D50" s="27">
        <v>4.0000000000000002E-4</v>
      </c>
      <c r="E50" s="1">
        <f t="shared" si="0"/>
        <v>5361.1031363437951</v>
      </c>
      <c r="F50" s="1">
        <f t="shared" si="1"/>
        <v>5361</v>
      </c>
      <c r="G50" s="1">
        <f t="shared" si="2"/>
        <v>0.54224500000418629</v>
      </c>
      <c r="K50" s="1">
        <f t="shared" si="7"/>
        <v>0.54224500000418629</v>
      </c>
      <c r="O50" s="1">
        <f t="shared" ca="1" si="4"/>
        <v>0.5423461441602293</v>
      </c>
      <c r="Q50" s="58">
        <f t="shared" si="5"/>
        <v>39964.194600000003</v>
      </c>
    </row>
    <row r="51" spans="1:17" x14ac:dyDescent="0.2">
      <c r="A51" s="23" t="s">
        <v>54</v>
      </c>
      <c r="B51" s="24" t="s">
        <v>44</v>
      </c>
      <c r="C51" s="25">
        <v>55219.290999999997</v>
      </c>
      <c r="D51" s="22"/>
      <c r="E51" s="1">
        <f t="shared" si="0"/>
        <v>5406.1043583947285</v>
      </c>
      <c r="F51" s="1">
        <f t="shared" si="1"/>
        <v>5406</v>
      </c>
      <c r="G51" s="1">
        <f t="shared" si="2"/>
        <v>0.54866999999649124</v>
      </c>
      <c r="K51" s="1">
        <f t="shared" si="7"/>
        <v>0.54866999999649124</v>
      </c>
      <c r="O51" s="1">
        <f t="shared" ca="1" si="4"/>
        <v>0.54844584020203258</v>
      </c>
      <c r="Q51" s="58">
        <f t="shared" si="5"/>
        <v>40200.790999999997</v>
      </c>
    </row>
    <row r="52" spans="1:17" x14ac:dyDescent="0.2">
      <c r="A52" s="23" t="s">
        <v>55</v>
      </c>
      <c r="B52" s="24" t="s">
        <v>44</v>
      </c>
      <c r="C52" s="25">
        <v>55592.5821</v>
      </c>
      <c r="D52" s="22"/>
      <c r="E52" s="1">
        <f t="shared" si="0"/>
        <v>5477.1052513953728</v>
      </c>
      <c r="F52" s="1">
        <f t="shared" si="1"/>
        <v>5477</v>
      </c>
      <c r="G52" s="1">
        <f t="shared" si="2"/>
        <v>0.55336499999975786</v>
      </c>
      <c r="K52" s="1">
        <f t="shared" si="7"/>
        <v>0.55336499999975786</v>
      </c>
      <c r="O52" s="1">
        <f t="shared" ca="1" si="4"/>
        <v>0.55806980506798898</v>
      </c>
      <c r="Q52" s="58">
        <f t="shared" si="5"/>
        <v>40574.0821</v>
      </c>
    </row>
    <row r="53" spans="1:17" x14ac:dyDescent="0.2">
      <c r="A53" s="31" t="s">
        <v>56</v>
      </c>
      <c r="B53" s="32" t="s">
        <v>44</v>
      </c>
      <c r="C53" s="31">
        <v>55592.582179999998</v>
      </c>
      <c r="D53" s="31">
        <v>1.2999999999999999E-3</v>
      </c>
      <c r="E53" s="1">
        <f t="shared" si="0"/>
        <v>5477.1052666115702</v>
      </c>
      <c r="F53" s="1">
        <f t="shared" si="1"/>
        <v>5477</v>
      </c>
      <c r="G53" s="1">
        <f t="shared" si="2"/>
        <v>0.55344499999773689</v>
      </c>
      <c r="K53" s="1">
        <f t="shared" si="7"/>
        <v>0.55344499999773689</v>
      </c>
      <c r="O53" s="1">
        <f t="shared" ca="1" si="4"/>
        <v>0.55806980506798898</v>
      </c>
      <c r="Q53" s="58">
        <f t="shared" si="5"/>
        <v>40574.082179999998</v>
      </c>
    </row>
    <row r="54" spans="1:17" x14ac:dyDescent="0.2">
      <c r="A54" s="27" t="s">
        <v>57</v>
      </c>
      <c r="B54" s="30" t="s">
        <v>58</v>
      </c>
      <c r="C54" s="27">
        <v>55592.587399999997</v>
      </c>
      <c r="D54" s="27">
        <v>8.0000000000000004E-4</v>
      </c>
      <c r="E54" s="1">
        <f t="shared" si="0"/>
        <v>5477.1062594685163</v>
      </c>
      <c r="F54" s="1">
        <f t="shared" si="1"/>
        <v>5477</v>
      </c>
      <c r="G54" s="1">
        <f t="shared" si="2"/>
        <v>0.55866499999683583</v>
      </c>
      <c r="K54" s="1">
        <f t="shared" si="7"/>
        <v>0.55866499999683583</v>
      </c>
      <c r="O54" s="1">
        <f t="shared" ca="1" si="4"/>
        <v>0.55806980506798898</v>
      </c>
      <c r="Q54" s="58">
        <f t="shared" si="5"/>
        <v>40574.087399999997</v>
      </c>
    </row>
    <row r="55" spans="1:17" x14ac:dyDescent="0.2">
      <c r="A55" s="31" t="s">
        <v>59</v>
      </c>
      <c r="B55" s="32" t="s">
        <v>44</v>
      </c>
      <c r="C55" s="31">
        <v>55671.451099999998</v>
      </c>
      <c r="D55" s="31">
        <v>1.6999999999999999E-3</v>
      </c>
      <c r="E55" s="1">
        <f t="shared" si="0"/>
        <v>5492.1063307944469</v>
      </c>
      <c r="F55" s="1">
        <f t="shared" si="1"/>
        <v>5492</v>
      </c>
      <c r="G55" s="1">
        <f t="shared" si="2"/>
        <v>0.55904000000009546</v>
      </c>
      <c r="J55" s="1">
        <f>+G55</f>
        <v>0.55904000000009546</v>
      </c>
      <c r="O55" s="1">
        <f t="shared" ca="1" si="4"/>
        <v>0.56010303708192344</v>
      </c>
      <c r="Q55" s="58">
        <f t="shared" si="5"/>
        <v>40652.951099999998</v>
      </c>
    </row>
    <row r="56" spans="1:17" x14ac:dyDescent="0.2">
      <c r="A56" s="27" t="s">
        <v>60</v>
      </c>
      <c r="B56" s="30" t="s">
        <v>44</v>
      </c>
      <c r="C56" s="27">
        <v>56407.529600000002</v>
      </c>
      <c r="D56" s="27">
        <v>6.1000000000000004E-3</v>
      </c>
      <c r="E56" s="1">
        <f t="shared" si="0"/>
        <v>5632.1102870060322</v>
      </c>
      <c r="F56" s="1">
        <f t="shared" si="1"/>
        <v>5632</v>
      </c>
      <c r="G56" s="1">
        <f t="shared" si="2"/>
        <v>0.57983999999851221</v>
      </c>
      <c r="J56" s="1">
        <f>+G56</f>
        <v>0.57983999999851221</v>
      </c>
      <c r="O56" s="1">
        <f t="shared" ca="1" si="4"/>
        <v>0.57907986921197829</v>
      </c>
      <c r="Q56" s="58">
        <f t="shared" si="5"/>
        <v>41389.029600000002</v>
      </c>
    </row>
    <row r="57" spans="1:17" x14ac:dyDescent="0.2">
      <c r="A57" s="27" t="s">
        <v>60</v>
      </c>
      <c r="B57" s="30" t="s">
        <v>44</v>
      </c>
      <c r="C57" s="27">
        <v>56407.529699999999</v>
      </c>
      <c r="D57" s="27">
        <v>6.3E-3</v>
      </c>
      <c r="E57" s="1">
        <f t="shared" si="0"/>
        <v>5632.1103060262794</v>
      </c>
      <c r="F57" s="1">
        <f t="shared" si="1"/>
        <v>5632</v>
      </c>
      <c r="G57" s="1">
        <f t="shared" si="2"/>
        <v>0.579939999995986</v>
      </c>
      <c r="J57" s="1">
        <f>+G57</f>
        <v>0.579939999995986</v>
      </c>
      <c r="O57" s="1">
        <f t="shared" ca="1" si="4"/>
        <v>0.57907986921197829</v>
      </c>
      <c r="Q57" s="58">
        <f t="shared" si="5"/>
        <v>41389.029699999999</v>
      </c>
    </row>
    <row r="58" spans="1:17" x14ac:dyDescent="0.2">
      <c r="A58" s="33" t="s">
        <v>61</v>
      </c>
      <c r="B58" s="34" t="s">
        <v>44</v>
      </c>
      <c r="C58" s="33">
        <v>56712.475200000001</v>
      </c>
      <c r="D58" s="33">
        <v>1.4E-3</v>
      </c>
      <c r="E58" s="1">
        <f t="shared" si="0"/>
        <v>5690.1116964064095</v>
      </c>
      <c r="F58" s="1">
        <f t="shared" si="1"/>
        <v>5690</v>
      </c>
      <c r="G58" s="1">
        <f t="shared" si="2"/>
        <v>0.58724999999685679</v>
      </c>
      <c r="J58" s="1">
        <f>+G58</f>
        <v>0.58724999999685679</v>
      </c>
      <c r="O58" s="1">
        <f t="shared" ca="1" si="4"/>
        <v>0.58694169966585807</v>
      </c>
      <c r="Q58" s="58">
        <f t="shared" si="5"/>
        <v>41693.975200000001</v>
      </c>
    </row>
    <row r="59" spans="1:17" x14ac:dyDescent="0.2">
      <c r="A59" s="27" t="s">
        <v>62</v>
      </c>
      <c r="B59" s="30"/>
      <c r="C59" s="27">
        <v>57080.515099999997</v>
      </c>
      <c r="D59" s="27">
        <v>8.9999999999999998E-4</v>
      </c>
      <c r="E59" s="1">
        <f t="shared" si="0"/>
        <v>5760.1137981438133</v>
      </c>
      <c r="F59" s="1">
        <f t="shared" si="1"/>
        <v>5760</v>
      </c>
      <c r="G59" s="1">
        <f t="shared" si="2"/>
        <v>0.59829999999055872</v>
      </c>
      <c r="J59" s="1">
        <f>+G59</f>
        <v>0.59829999999055872</v>
      </c>
      <c r="O59" s="1">
        <f t="shared" ca="1" si="4"/>
        <v>0.59643011573088556</v>
      </c>
      <c r="Q59" s="58">
        <f t="shared" si="5"/>
        <v>42062.015099999997</v>
      </c>
    </row>
    <row r="60" spans="1:17" x14ac:dyDescent="0.2">
      <c r="A60" s="35" t="s">
        <v>63</v>
      </c>
      <c r="B60" s="36" t="s">
        <v>44</v>
      </c>
      <c r="C60" s="35">
        <v>57390.718699999998</v>
      </c>
      <c r="D60" s="35">
        <v>5.0000000000000001E-4</v>
      </c>
      <c r="E60" s="1">
        <f t="shared" ref="E60:E65" si="8">+(C60-C$7)/C$8</f>
        <v>5819.115292184294</v>
      </c>
      <c r="F60" s="1">
        <f t="shared" si="1"/>
        <v>5819</v>
      </c>
      <c r="G60" s="1">
        <f t="shared" ref="G60:G65" si="9">+C60-(C$7+F60*C$8)</f>
        <v>0.60615500000130851</v>
      </c>
      <c r="K60" s="1">
        <f t="shared" si="7"/>
        <v>0.60615500000130851</v>
      </c>
      <c r="O60" s="1">
        <f t="shared" ref="O60:O65" ca="1" si="10">+C$11+C$12*$F60</f>
        <v>0.60442749498569437</v>
      </c>
      <c r="Q60" s="58">
        <f t="shared" ref="Q60:Q65" si="11">+C60-15018.5</f>
        <v>42372.218699999998</v>
      </c>
    </row>
    <row r="61" spans="1:17" s="61" customFormat="1" ht="12" customHeight="1" x14ac:dyDescent="0.2">
      <c r="A61" s="37" t="s">
        <v>64</v>
      </c>
      <c r="B61" s="38" t="s">
        <v>44</v>
      </c>
      <c r="C61" s="39">
        <v>57811.336799999997</v>
      </c>
      <c r="D61" s="39">
        <v>1.6999999999999999E-3</v>
      </c>
      <c r="E61" s="61">
        <f t="shared" si="8"/>
        <v>5899.117897958271</v>
      </c>
      <c r="F61" s="61">
        <f t="shared" si="1"/>
        <v>5899</v>
      </c>
      <c r="G61" s="61">
        <f t="shared" si="9"/>
        <v>0.61985499999718741</v>
      </c>
      <c r="K61" s="61">
        <f t="shared" si="7"/>
        <v>0.61985499999718741</v>
      </c>
      <c r="O61" s="61">
        <f t="shared" ca="1" si="10"/>
        <v>0.61527139906001138</v>
      </c>
      <c r="Q61" s="62">
        <f t="shared" si="11"/>
        <v>42792.836799999997</v>
      </c>
    </row>
    <row r="62" spans="1:17" s="61" customFormat="1" ht="12" customHeight="1" x14ac:dyDescent="0.2">
      <c r="A62" s="40" t="s">
        <v>65</v>
      </c>
      <c r="B62" s="41" t="s">
        <v>44</v>
      </c>
      <c r="C62" s="42">
        <v>58226.688900000001</v>
      </c>
      <c r="D62" s="42">
        <v>8.9999999999999998E-4</v>
      </c>
      <c r="E62" s="61">
        <f t="shared" si="8"/>
        <v>5978.1188974723045</v>
      </c>
      <c r="F62" s="61">
        <f>ROUND(2*E62,0)/2</f>
        <v>5978</v>
      </c>
      <c r="G62" s="61">
        <f t="shared" si="9"/>
        <v>0.62511000000085915</v>
      </c>
      <c r="K62" s="61">
        <f>+G62</f>
        <v>0.62511000000085915</v>
      </c>
      <c r="O62" s="61">
        <f t="shared" ca="1" si="10"/>
        <v>0.62597975433339947</v>
      </c>
      <c r="Q62" s="62">
        <f t="shared" si="11"/>
        <v>43208.188900000001</v>
      </c>
    </row>
    <row r="63" spans="1:17" s="61" customFormat="1" ht="12" customHeight="1" x14ac:dyDescent="0.2">
      <c r="A63" s="40" t="s">
        <v>66</v>
      </c>
      <c r="B63" s="41" t="s">
        <v>44</v>
      </c>
      <c r="C63" s="42">
        <v>58573.701699999998</v>
      </c>
      <c r="D63" s="42">
        <v>2.9999999999999997E-4</v>
      </c>
      <c r="E63" s="61">
        <f t="shared" si="8"/>
        <v>6044.1215926414461</v>
      </c>
      <c r="F63" s="61">
        <f>ROUND(2*E63,0)/2</f>
        <v>6044</v>
      </c>
      <c r="G63" s="61">
        <f t="shared" si="9"/>
        <v>0.63927999999577878</v>
      </c>
      <c r="K63" s="61">
        <f>+G63</f>
        <v>0.63927999999577878</v>
      </c>
      <c r="O63" s="61">
        <f t="shared" ca="1" si="10"/>
        <v>0.63492597519471095</v>
      </c>
      <c r="Q63" s="62">
        <f t="shared" si="11"/>
        <v>43555.201699999998</v>
      </c>
    </row>
    <row r="64" spans="1:17" s="61" customFormat="1" ht="12" customHeight="1" x14ac:dyDescent="0.2">
      <c r="A64" s="43" t="s">
        <v>67</v>
      </c>
      <c r="B64" s="44" t="s">
        <v>44</v>
      </c>
      <c r="C64" s="45">
        <v>58799.776100000003</v>
      </c>
      <c r="D64" s="45">
        <v>2.0000000000000001E-4</v>
      </c>
      <c r="E64" s="61">
        <f t="shared" si="8"/>
        <v>6087.1215041972937</v>
      </c>
      <c r="F64" s="61">
        <f>ROUND(2*E64,0)/2</f>
        <v>6087</v>
      </c>
      <c r="G64" s="61">
        <f t="shared" si="9"/>
        <v>0.63881499999843072</v>
      </c>
      <c r="K64" s="61">
        <f>+G64</f>
        <v>0.63881499999843072</v>
      </c>
      <c r="O64" s="61">
        <f t="shared" ca="1" si="10"/>
        <v>0.64075457363465638</v>
      </c>
      <c r="Q64" s="62">
        <f t="shared" si="11"/>
        <v>43781.276100000003</v>
      </c>
    </row>
    <row r="65" spans="1:17" s="61" customFormat="1" ht="12" customHeight="1" x14ac:dyDescent="0.2">
      <c r="A65" s="59" t="s">
        <v>223</v>
      </c>
      <c r="B65" s="60" t="s">
        <v>44</v>
      </c>
      <c r="C65" s="63">
        <v>59903.888800000001</v>
      </c>
      <c r="D65" s="64">
        <v>2.9999999999999997E-4</v>
      </c>
      <c r="E65" s="61">
        <f t="shared" si="8"/>
        <v>6297.1264779921466</v>
      </c>
      <c r="F65" s="61">
        <f>ROUND(2*E65,0)/2</f>
        <v>6297</v>
      </c>
      <c r="G65" s="61">
        <f t="shared" si="9"/>
        <v>0.66496499999630032</v>
      </c>
      <c r="K65" s="61">
        <f>+G65</f>
        <v>0.66496499999630032</v>
      </c>
      <c r="O65" s="61">
        <f t="shared" ca="1" si="10"/>
        <v>0.6692198218297386</v>
      </c>
      <c r="Q65" s="62">
        <f t="shared" si="11"/>
        <v>44885.388800000001</v>
      </c>
    </row>
    <row r="66" spans="1:17" s="61" customFormat="1" ht="12" customHeight="1" x14ac:dyDescent="0.2">
      <c r="C66" s="65"/>
      <c r="D66" s="65"/>
    </row>
    <row r="67" spans="1:17" s="61" customFormat="1" ht="12" customHeight="1" x14ac:dyDescent="0.2"/>
    <row r="68" spans="1:17" s="61" customFormat="1" ht="12" customHeight="1" x14ac:dyDescent="0.2"/>
    <row r="69" spans="1:17" s="61" customFormat="1" ht="12" customHeight="1" x14ac:dyDescent="0.2"/>
    <row r="70" spans="1:17" s="61" customFormat="1" ht="12" customHeight="1" x14ac:dyDescent="0.2"/>
    <row r="71" spans="1:17" s="61" customFormat="1" ht="12" customHeight="1" x14ac:dyDescent="0.2"/>
    <row r="72" spans="1:17" s="61" customFormat="1" ht="12" customHeight="1" x14ac:dyDescent="0.2"/>
    <row r="73" spans="1:17" s="61" customFormat="1" ht="12" customHeight="1" x14ac:dyDescent="0.2"/>
    <row r="74" spans="1:17" s="61" customFormat="1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workbookViewId="0">
      <selection activeCell="A21" sqref="A21"/>
    </sheetView>
  </sheetViews>
  <sheetFormatPr defaultRowHeight="12.75" x14ac:dyDescent="0.2"/>
  <cols>
    <col min="1" max="1" width="19.7109375" style="22" customWidth="1"/>
    <col min="2" max="2" width="4.42578125" customWidth="1"/>
    <col min="3" max="3" width="12.7109375" style="22" customWidth="1"/>
    <col min="4" max="4" width="5.42578125" customWidth="1"/>
    <col min="5" max="5" width="14.85546875" customWidth="1"/>
    <col min="7" max="7" width="12" customWidth="1"/>
    <col min="8" max="8" width="14.140625" style="2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6" t="s">
        <v>68</v>
      </c>
      <c r="I1" s="47" t="s">
        <v>69</v>
      </c>
      <c r="J1" s="48" t="s">
        <v>35</v>
      </c>
    </row>
    <row r="2" spans="1:16" x14ac:dyDescent="0.2">
      <c r="I2" s="49" t="s">
        <v>70</v>
      </c>
      <c r="J2" s="50" t="s">
        <v>34</v>
      </c>
    </row>
    <row r="3" spans="1:16" x14ac:dyDescent="0.2">
      <c r="A3" s="51" t="s">
        <v>71</v>
      </c>
      <c r="I3" s="49" t="s">
        <v>72</v>
      </c>
      <c r="J3" s="50" t="s">
        <v>32</v>
      </c>
    </row>
    <row r="4" spans="1:16" x14ac:dyDescent="0.2">
      <c r="I4" s="49" t="s">
        <v>73</v>
      </c>
      <c r="J4" s="50" t="s">
        <v>32</v>
      </c>
    </row>
    <row r="5" spans="1:16" x14ac:dyDescent="0.2">
      <c r="I5" s="52" t="s">
        <v>74</v>
      </c>
      <c r="J5" s="53" t="s">
        <v>33</v>
      </c>
    </row>
    <row r="11" spans="1:16" ht="12.75" customHeight="1" x14ac:dyDescent="0.2">
      <c r="A11" s="22" t="str">
        <f t="shared" ref="A11:A47" si="0">P11</f>
        <v>BAVM 52 </v>
      </c>
      <c r="B11" s="15" t="str">
        <f t="shared" ref="B11:B47" si="1">IF(H11=INT(H11),"I","II")</f>
        <v>I</v>
      </c>
      <c r="C11" s="22">
        <f t="shared" ref="C11:C47" si="2">1*G11</f>
        <v>47569.372000000003</v>
      </c>
      <c r="D11" t="str">
        <f t="shared" ref="D11:D47" si="3">VLOOKUP(F11,I$1:J$5,2,FALSE)</f>
        <v>vis</v>
      </c>
      <c r="E11">
        <f>VLOOKUP(C11,Active!C$21:E$973,3,FALSE)</f>
        <v>3951.0707924120625</v>
      </c>
      <c r="F11" s="15" t="s">
        <v>74</v>
      </c>
      <c r="G11" t="str">
        <f t="shared" ref="G11:G47" si="4">MID(I11,3,LEN(I11)-3)</f>
        <v>47569.372</v>
      </c>
      <c r="H11" s="22">
        <f t="shared" ref="H11:H47" si="5">1*K11</f>
        <v>3951</v>
      </c>
      <c r="I11" s="54" t="s">
        <v>75</v>
      </c>
      <c r="J11" s="55" t="s">
        <v>76</v>
      </c>
      <c r="K11" s="54">
        <v>3951</v>
      </c>
      <c r="L11" s="54" t="s">
        <v>77</v>
      </c>
      <c r="M11" s="55" t="s">
        <v>78</v>
      </c>
      <c r="N11" s="55"/>
      <c r="O11" s="56" t="s">
        <v>79</v>
      </c>
      <c r="P11" s="57" t="s">
        <v>80</v>
      </c>
    </row>
    <row r="12" spans="1:16" ht="12.75" customHeight="1" x14ac:dyDescent="0.2">
      <c r="A12" s="22" t="str">
        <f t="shared" si="0"/>
        <v>BAVM 59 </v>
      </c>
      <c r="B12" s="15" t="str">
        <f t="shared" si="1"/>
        <v>I</v>
      </c>
      <c r="C12" s="22">
        <f t="shared" si="2"/>
        <v>48000.52</v>
      </c>
      <c r="D12" t="str">
        <f t="shared" si="3"/>
        <v>vis</v>
      </c>
      <c r="E12">
        <f>VLOOKUP(C12,Active!C$21:E$973,3,FALSE)</f>
        <v>4033.0762112807179</v>
      </c>
      <c r="F12" s="15" t="s">
        <v>74</v>
      </c>
      <c r="G12" t="str">
        <f t="shared" si="4"/>
        <v>48000.520</v>
      </c>
      <c r="H12" s="22">
        <f t="shared" si="5"/>
        <v>4033</v>
      </c>
      <c r="I12" s="54" t="s">
        <v>81</v>
      </c>
      <c r="J12" s="55" t="s">
        <v>82</v>
      </c>
      <c r="K12" s="54">
        <v>4033</v>
      </c>
      <c r="L12" s="54" t="s">
        <v>83</v>
      </c>
      <c r="M12" s="55" t="s">
        <v>78</v>
      </c>
      <c r="N12" s="55"/>
      <c r="O12" s="56" t="s">
        <v>79</v>
      </c>
      <c r="P12" s="57" t="s">
        <v>84</v>
      </c>
    </row>
    <row r="13" spans="1:16" ht="12.75" customHeight="1" x14ac:dyDescent="0.2">
      <c r="A13" s="22" t="str">
        <f t="shared" si="0"/>
        <v>BAVM 178 </v>
      </c>
      <c r="B13" s="15" t="str">
        <f t="shared" si="1"/>
        <v>I</v>
      </c>
      <c r="C13" s="22">
        <f t="shared" si="2"/>
        <v>53794.458299999998</v>
      </c>
      <c r="D13" t="str">
        <f t="shared" si="3"/>
        <v>vis</v>
      </c>
      <c r="E13">
        <f>VLOOKUP(C13,Active!C$21:E$973,3,FALSE)</f>
        <v>5135.0976451981951</v>
      </c>
      <c r="F13" s="15" t="s">
        <v>74</v>
      </c>
      <c r="G13" t="str">
        <f t="shared" si="4"/>
        <v>53794.4583</v>
      </c>
      <c r="H13" s="22">
        <f t="shared" si="5"/>
        <v>5135</v>
      </c>
      <c r="I13" s="54" t="s">
        <v>85</v>
      </c>
      <c r="J13" s="55" t="s">
        <v>86</v>
      </c>
      <c r="K13" s="54">
        <v>5135</v>
      </c>
      <c r="L13" s="54" t="s">
        <v>87</v>
      </c>
      <c r="M13" s="55" t="s">
        <v>88</v>
      </c>
      <c r="N13" s="55" t="s">
        <v>89</v>
      </c>
      <c r="O13" s="56" t="s">
        <v>90</v>
      </c>
      <c r="P13" s="57" t="s">
        <v>91</v>
      </c>
    </row>
    <row r="14" spans="1:16" ht="12.75" customHeight="1" x14ac:dyDescent="0.2">
      <c r="A14" s="22" t="str">
        <f t="shared" si="0"/>
        <v>JAAVSO 36(2);171 </v>
      </c>
      <c r="B14" s="15" t="str">
        <f t="shared" si="1"/>
        <v>I</v>
      </c>
      <c r="C14" s="22">
        <f t="shared" si="2"/>
        <v>54514.760600000001</v>
      </c>
      <c r="D14" t="str">
        <f t="shared" si="3"/>
        <v>vis</v>
      </c>
      <c r="E14">
        <f>VLOOKUP(C14,Active!C$21:E$973,3,FALSE)</f>
        <v>5272.1009290440143</v>
      </c>
      <c r="F14" s="15" t="s">
        <v>74</v>
      </c>
      <c r="G14" t="str">
        <f t="shared" si="4"/>
        <v>54514.7606</v>
      </c>
      <c r="H14" s="22">
        <f t="shared" si="5"/>
        <v>5272</v>
      </c>
      <c r="I14" s="54" t="s">
        <v>92</v>
      </c>
      <c r="J14" s="55" t="s">
        <v>93</v>
      </c>
      <c r="K14" s="54" t="s">
        <v>94</v>
      </c>
      <c r="L14" s="54" t="s">
        <v>95</v>
      </c>
      <c r="M14" s="55" t="s">
        <v>88</v>
      </c>
      <c r="N14" s="55" t="s">
        <v>96</v>
      </c>
      <c r="O14" s="56" t="s">
        <v>97</v>
      </c>
      <c r="P14" s="57" t="s">
        <v>98</v>
      </c>
    </row>
    <row r="15" spans="1:16" ht="12.75" customHeight="1" x14ac:dyDescent="0.2">
      <c r="A15" s="22" t="str">
        <f t="shared" si="0"/>
        <v> JAAVSO 38;85 </v>
      </c>
      <c r="B15" s="15" t="str">
        <f t="shared" si="1"/>
        <v>I</v>
      </c>
      <c r="C15" s="22">
        <f t="shared" si="2"/>
        <v>54982.694600000003</v>
      </c>
      <c r="D15" t="str">
        <f t="shared" si="3"/>
        <v>vis</v>
      </c>
      <c r="E15">
        <f>VLOOKUP(C15,Active!C$21:E$973,3,FALSE)</f>
        <v>5361.1031363437951</v>
      </c>
      <c r="F15" s="15" t="s">
        <v>74</v>
      </c>
      <c r="G15" t="str">
        <f t="shared" si="4"/>
        <v>54982.6946</v>
      </c>
      <c r="H15" s="22">
        <f t="shared" si="5"/>
        <v>5361</v>
      </c>
      <c r="I15" s="54" t="s">
        <v>99</v>
      </c>
      <c r="J15" s="55" t="s">
        <v>100</v>
      </c>
      <c r="K15" s="54" t="s">
        <v>101</v>
      </c>
      <c r="L15" s="54" t="s">
        <v>102</v>
      </c>
      <c r="M15" s="55" t="s">
        <v>88</v>
      </c>
      <c r="N15" s="55" t="s">
        <v>96</v>
      </c>
      <c r="O15" s="56" t="s">
        <v>103</v>
      </c>
      <c r="P15" s="56" t="s">
        <v>104</v>
      </c>
    </row>
    <row r="16" spans="1:16" ht="12.75" customHeight="1" x14ac:dyDescent="0.2">
      <c r="A16" s="22" t="str">
        <f t="shared" si="0"/>
        <v> JAAVSO 39;177 </v>
      </c>
      <c r="B16" s="15" t="str">
        <f t="shared" si="1"/>
        <v>I</v>
      </c>
      <c r="C16" s="22">
        <f t="shared" si="2"/>
        <v>55592.587399999997</v>
      </c>
      <c r="D16" t="str">
        <f t="shared" si="3"/>
        <v>vis</v>
      </c>
      <c r="E16">
        <f>VLOOKUP(C16,Active!C$21:E$973,3,FALSE)</f>
        <v>5477.1062594685163</v>
      </c>
      <c r="F16" s="15" t="s">
        <v>74</v>
      </c>
      <c r="G16" t="str">
        <f t="shared" si="4"/>
        <v>55592.5874</v>
      </c>
      <c r="H16" s="22">
        <f t="shared" si="5"/>
        <v>5477</v>
      </c>
      <c r="I16" s="54" t="s">
        <v>105</v>
      </c>
      <c r="J16" s="55" t="s">
        <v>106</v>
      </c>
      <c r="K16" s="54" t="s">
        <v>107</v>
      </c>
      <c r="L16" s="54" t="s">
        <v>108</v>
      </c>
      <c r="M16" s="55" t="s">
        <v>88</v>
      </c>
      <c r="N16" s="55" t="s">
        <v>74</v>
      </c>
      <c r="O16" s="56" t="s">
        <v>103</v>
      </c>
      <c r="P16" s="56" t="s">
        <v>109</v>
      </c>
    </row>
    <row r="17" spans="1:16" ht="12.75" customHeight="1" x14ac:dyDescent="0.2">
      <c r="A17" s="22" t="str">
        <f t="shared" si="0"/>
        <v>BAVM 220 </v>
      </c>
      <c r="B17" s="15" t="str">
        <f t="shared" si="1"/>
        <v>I</v>
      </c>
      <c r="C17" s="22">
        <f t="shared" si="2"/>
        <v>55671.451099999998</v>
      </c>
      <c r="D17" t="str">
        <f t="shared" si="3"/>
        <v>vis</v>
      </c>
      <c r="E17">
        <f>VLOOKUP(C17,Active!C$21:E$973,3,FALSE)</f>
        <v>5492.1063307944469</v>
      </c>
      <c r="F17" s="15" t="s">
        <v>74</v>
      </c>
      <c r="G17" t="str">
        <f t="shared" si="4"/>
        <v>55671.4511</v>
      </c>
      <c r="H17" s="22">
        <f t="shared" si="5"/>
        <v>5492</v>
      </c>
      <c r="I17" s="54" t="s">
        <v>110</v>
      </c>
      <c r="J17" s="55" t="s">
        <v>111</v>
      </c>
      <c r="K17" s="54" t="s">
        <v>112</v>
      </c>
      <c r="L17" s="54" t="s">
        <v>113</v>
      </c>
      <c r="M17" s="55" t="s">
        <v>88</v>
      </c>
      <c r="N17" s="55" t="s">
        <v>89</v>
      </c>
      <c r="O17" s="56" t="s">
        <v>114</v>
      </c>
      <c r="P17" s="57" t="s">
        <v>115</v>
      </c>
    </row>
    <row r="18" spans="1:16" ht="12.75" customHeight="1" x14ac:dyDescent="0.2">
      <c r="A18" s="22" t="str">
        <f t="shared" si="0"/>
        <v>BAVM 232 </v>
      </c>
      <c r="B18" s="15" t="str">
        <f t="shared" si="1"/>
        <v>I</v>
      </c>
      <c r="C18" s="22">
        <f t="shared" si="2"/>
        <v>56407.529600000002</v>
      </c>
      <c r="D18" t="str">
        <f t="shared" si="3"/>
        <v>vis</v>
      </c>
      <c r="E18">
        <f>VLOOKUP(C18,Active!C$21:E$973,3,FALSE)</f>
        <v>5632.1102870060322</v>
      </c>
      <c r="F18" s="15" t="s">
        <v>74</v>
      </c>
      <c r="G18" t="str">
        <f t="shared" si="4"/>
        <v>56407.5296</v>
      </c>
      <c r="H18" s="22">
        <f t="shared" si="5"/>
        <v>5632</v>
      </c>
      <c r="I18" s="54" t="s">
        <v>116</v>
      </c>
      <c r="J18" s="55" t="s">
        <v>117</v>
      </c>
      <c r="K18" s="54" t="s">
        <v>118</v>
      </c>
      <c r="L18" s="54" t="s">
        <v>119</v>
      </c>
      <c r="M18" s="55" t="s">
        <v>88</v>
      </c>
      <c r="N18" s="55" t="s">
        <v>74</v>
      </c>
      <c r="O18" s="56" t="s">
        <v>114</v>
      </c>
      <c r="P18" s="57" t="s">
        <v>120</v>
      </c>
    </row>
    <row r="19" spans="1:16" ht="12.75" customHeight="1" x14ac:dyDescent="0.2">
      <c r="A19" s="22" t="str">
        <f t="shared" si="0"/>
        <v>BAVM 232 </v>
      </c>
      <c r="B19" s="15" t="str">
        <f t="shared" si="1"/>
        <v>I</v>
      </c>
      <c r="C19" s="22">
        <f t="shared" si="2"/>
        <v>56407.529699999999</v>
      </c>
      <c r="D19" t="str">
        <f t="shared" si="3"/>
        <v>vis</v>
      </c>
      <c r="E19">
        <f>VLOOKUP(C19,Active!C$21:E$973,3,FALSE)</f>
        <v>5632.1103060262794</v>
      </c>
      <c r="F19" s="15" t="s">
        <v>74</v>
      </c>
      <c r="G19" t="str">
        <f t="shared" si="4"/>
        <v>56407.5297</v>
      </c>
      <c r="H19" s="22">
        <f t="shared" si="5"/>
        <v>5632</v>
      </c>
      <c r="I19" s="54" t="s">
        <v>121</v>
      </c>
      <c r="J19" s="55" t="s">
        <v>117</v>
      </c>
      <c r="K19" s="54" t="s">
        <v>118</v>
      </c>
      <c r="L19" s="54" t="s">
        <v>122</v>
      </c>
      <c r="M19" s="55" t="s">
        <v>88</v>
      </c>
      <c r="N19" s="55" t="s">
        <v>123</v>
      </c>
      <c r="O19" s="56" t="s">
        <v>114</v>
      </c>
      <c r="P19" s="57" t="s">
        <v>120</v>
      </c>
    </row>
    <row r="20" spans="1:16" ht="12.75" customHeight="1" x14ac:dyDescent="0.2">
      <c r="A20" s="22" t="str">
        <f t="shared" si="0"/>
        <v>BAVM 238 </v>
      </c>
      <c r="B20" s="15" t="str">
        <f t="shared" si="1"/>
        <v>I</v>
      </c>
      <c r="C20" s="22">
        <f t="shared" si="2"/>
        <v>56712.475200000001</v>
      </c>
      <c r="D20" t="str">
        <f t="shared" si="3"/>
        <v>vis</v>
      </c>
      <c r="E20">
        <f>VLOOKUP(C20,Active!C$21:E$973,3,FALSE)</f>
        <v>5690.1116964064095</v>
      </c>
      <c r="F20" s="15" t="s">
        <v>74</v>
      </c>
      <c r="G20" t="str">
        <f t="shared" si="4"/>
        <v>56712.4752</v>
      </c>
      <c r="H20" s="22">
        <f t="shared" si="5"/>
        <v>5690</v>
      </c>
      <c r="I20" s="54" t="s">
        <v>124</v>
      </c>
      <c r="J20" s="55" t="s">
        <v>125</v>
      </c>
      <c r="K20" s="54" t="s">
        <v>126</v>
      </c>
      <c r="L20" s="54" t="s">
        <v>127</v>
      </c>
      <c r="M20" s="55" t="s">
        <v>88</v>
      </c>
      <c r="N20" s="55" t="s">
        <v>89</v>
      </c>
      <c r="O20" s="56" t="s">
        <v>114</v>
      </c>
      <c r="P20" s="57" t="s">
        <v>128</v>
      </c>
    </row>
    <row r="21" spans="1:16" ht="12.75" customHeight="1" x14ac:dyDescent="0.2">
      <c r="A21" s="22" t="str">
        <f t="shared" si="0"/>
        <v> VB 5.14 </v>
      </c>
      <c r="B21" s="15" t="str">
        <f t="shared" si="1"/>
        <v>I</v>
      </c>
      <c r="C21" s="22">
        <f t="shared" si="2"/>
        <v>26796.401000000002</v>
      </c>
      <c r="D21" t="str">
        <f t="shared" si="3"/>
        <v>vis</v>
      </c>
      <c r="E21">
        <f>VLOOKUP(C21,Active!C$21:E$973,3,FALSE)</f>
        <v>1.9020248008888671E-4</v>
      </c>
      <c r="F21" s="15" t="s">
        <v>74</v>
      </c>
      <c r="G21" t="str">
        <f t="shared" si="4"/>
        <v>26796.401</v>
      </c>
      <c r="H21" s="22">
        <f t="shared" si="5"/>
        <v>0</v>
      </c>
      <c r="I21" s="54" t="s">
        <v>129</v>
      </c>
      <c r="J21" s="55" t="s">
        <v>130</v>
      </c>
      <c r="K21" s="54">
        <v>0</v>
      </c>
      <c r="L21" s="54" t="s">
        <v>131</v>
      </c>
      <c r="M21" s="55" t="s">
        <v>132</v>
      </c>
      <c r="N21" s="55"/>
      <c r="O21" s="56" t="s">
        <v>133</v>
      </c>
      <c r="P21" s="56" t="s">
        <v>43</v>
      </c>
    </row>
    <row r="22" spans="1:16" ht="12.75" customHeight="1" x14ac:dyDescent="0.2">
      <c r="A22" s="22" t="str">
        <f t="shared" si="0"/>
        <v> VB 5.14 </v>
      </c>
      <c r="B22" s="15" t="str">
        <f t="shared" si="1"/>
        <v>I</v>
      </c>
      <c r="C22" s="22">
        <f t="shared" si="2"/>
        <v>27532.394</v>
      </c>
      <c r="D22" t="str">
        <f t="shared" si="3"/>
        <v>vis</v>
      </c>
      <c r="E22">
        <f>VLOOKUP(C22,Active!C$21:E$973,3,FALSE)</f>
        <v>139.98788410202059</v>
      </c>
      <c r="F22" s="15" t="s">
        <v>74</v>
      </c>
      <c r="G22" t="str">
        <f t="shared" si="4"/>
        <v>27532.394</v>
      </c>
      <c r="H22" s="22">
        <f t="shared" si="5"/>
        <v>140</v>
      </c>
      <c r="I22" s="54" t="s">
        <v>134</v>
      </c>
      <c r="J22" s="55" t="s">
        <v>135</v>
      </c>
      <c r="K22" s="54">
        <v>140</v>
      </c>
      <c r="L22" s="54" t="s">
        <v>136</v>
      </c>
      <c r="M22" s="55" t="s">
        <v>132</v>
      </c>
      <c r="N22" s="55"/>
      <c r="O22" s="56" t="s">
        <v>133</v>
      </c>
      <c r="P22" s="56" t="s">
        <v>43</v>
      </c>
    </row>
    <row r="23" spans="1:16" ht="12.75" customHeight="1" x14ac:dyDescent="0.2">
      <c r="A23" s="22" t="str">
        <f t="shared" si="0"/>
        <v> VB 5.14 </v>
      </c>
      <c r="B23" s="15" t="str">
        <f t="shared" si="1"/>
        <v>I</v>
      </c>
      <c r="C23" s="22">
        <f t="shared" si="2"/>
        <v>28310.454000000002</v>
      </c>
      <c r="D23" t="str">
        <f t="shared" si="3"/>
        <v>vis</v>
      </c>
      <c r="E23">
        <f>VLOOKUP(C23,Active!C$21:E$973,3,FALSE)</f>
        <v>287.97682572983069</v>
      </c>
      <c r="F23" s="15" t="s">
        <v>74</v>
      </c>
      <c r="G23" t="str">
        <f t="shared" si="4"/>
        <v>28310.454</v>
      </c>
      <c r="H23" s="22">
        <f t="shared" si="5"/>
        <v>288</v>
      </c>
      <c r="I23" s="54" t="s">
        <v>137</v>
      </c>
      <c r="J23" s="55" t="s">
        <v>138</v>
      </c>
      <c r="K23" s="54">
        <v>288</v>
      </c>
      <c r="L23" s="54" t="s">
        <v>139</v>
      </c>
      <c r="M23" s="55" t="s">
        <v>132</v>
      </c>
      <c r="N23" s="55"/>
      <c r="O23" s="56" t="s">
        <v>133</v>
      </c>
      <c r="P23" s="56" t="s">
        <v>43</v>
      </c>
    </row>
    <row r="24" spans="1:16" ht="12.75" customHeight="1" x14ac:dyDescent="0.2">
      <c r="A24" s="22" t="str">
        <f t="shared" si="0"/>
        <v> VB 5.14 </v>
      </c>
      <c r="B24" s="15" t="str">
        <f t="shared" si="1"/>
        <v>I</v>
      </c>
      <c r="C24" s="22">
        <f t="shared" si="2"/>
        <v>28636.405999999999</v>
      </c>
      <c r="D24" t="str">
        <f t="shared" si="3"/>
        <v>vis</v>
      </c>
      <c r="E24">
        <f>VLOOKUP(C24,Active!C$21:E$973,3,FALSE)</f>
        <v>349.9737045071326</v>
      </c>
      <c r="F24" s="15" t="s">
        <v>74</v>
      </c>
      <c r="G24" t="str">
        <f t="shared" si="4"/>
        <v>28636.406</v>
      </c>
      <c r="H24" s="22">
        <f t="shared" si="5"/>
        <v>350</v>
      </c>
      <c r="I24" s="54" t="s">
        <v>140</v>
      </c>
      <c r="J24" s="55" t="s">
        <v>141</v>
      </c>
      <c r="K24" s="54">
        <v>350</v>
      </c>
      <c r="L24" s="54" t="s">
        <v>142</v>
      </c>
      <c r="M24" s="55" t="s">
        <v>132</v>
      </c>
      <c r="N24" s="55"/>
      <c r="O24" s="56" t="s">
        <v>133</v>
      </c>
      <c r="P24" s="56" t="s">
        <v>43</v>
      </c>
    </row>
    <row r="25" spans="1:16" ht="12.75" customHeight="1" x14ac:dyDescent="0.2">
      <c r="A25" s="22" t="str">
        <f t="shared" si="0"/>
        <v> VB 5.14 </v>
      </c>
      <c r="B25" s="15" t="str">
        <f t="shared" si="1"/>
        <v>I</v>
      </c>
      <c r="C25" s="22">
        <f t="shared" si="2"/>
        <v>28652.379000000001</v>
      </c>
      <c r="D25" t="str">
        <f t="shared" si="3"/>
        <v>vis</v>
      </c>
      <c r="E25">
        <f>VLOOKUP(C25,Active!C$21:E$973,3,FALSE)</f>
        <v>353.01180872097382</v>
      </c>
      <c r="F25" s="15" t="s">
        <v>74</v>
      </c>
      <c r="G25" t="str">
        <f t="shared" si="4"/>
        <v>28652.379</v>
      </c>
      <c r="H25" s="22">
        <f t="shared" si="5"/>
        <v>353</v>
      </c>
      <c r="I25" s="54" t="s">
        <v>143</v>
      </c>
      <c r="J25" s="55" t="s">
        <v>144</v>
      </c>
      <c r="K25" s="54">
        <v>353</v>
      </c>
      <c r="L25" s="54" t="s">
        <v>145</v>
      </c>
      <c r="M25" s="55" t="s">
        <v>132</v>
      </c>
      <c r="N25" s="55"/>
      <c r="O25" s="56" t="s">
        <v>133</v>
      </c>
      <c r="P25" s="56" t="s">
        <v>43</v>
      </c>
    </row>
    <row r="26" spans="1:16" ht="12.75" customHeight="1" x14ac:dyDescent="0.2">
      <c r="A26" s="22" t="str">
        <f t="shared" si="0"/>
        <v> VB 5.14 </v>
      </c>
      <c r="B26" s="15" t="str">
        <f t="shared" si="1"/>
        <v>I</v>
      </c>
      <c r="C26" s="22">
        <f t="shared" si="2"/>
        <v>28962.45</v>
      </c>
      <c r="D26" t="str">
        <f t="shared" si="3"/>
        <v>vis</v>
      </c>
      <c r="E26">
        <f>VLOOKUP(C26,Active!C$21:E$973,3,FALSE)</f>
        <v>411.98808191259991</v>
      </c>
      <c r="F26" s="15" t="s">
        <v>74</v>
      </c>
      <c r="G26" t="str">
        <f t="shared" si="4"/>
        <v>28962.450</v>
      </c>
      <c r="H26" s="22">
        <f t="shared" si="5"/>
        <v>412</v>
      </c>
      <c r="I26" s="54" t="s">
        <v>146</v>
      </c>
      <c r="J26" s="55" t="s">
        <v>147</v>
      </c>
      <c r="K26" s="54">
        <v>412</v>
      </c>
      <c r="L26" s="54" t="s">
        <v>148</v>
      </c>
      <c r="M26" s="55" t="s">
        <v>132</v>
      </c>
      <c r="N26" s="55"/>
      <c r="O26" s="56" t="s">
        <v>133</v>
      </c>
      <c r="P26" s="56" t="s">
        <v>43</v>
      </c>
    </row>
    <row r="27" spans="1:16" ht="12.75" customHeight="1" x14ac:dyDescent="0.2">
      <c r="A27" s="22" t="str">
        <f t="shared" si="0"/>
        <v> VB 5.14 </v>
      </c>
      <c r="B27" s="15" t="str">
        <f t="shared" si="1"/>
        <v>I</v>
      </c>
      <c r="C27" s="22">
        <f t="shared" si="2"/>
        <v>28978.385999999999</v>
      </c>
      <c r="D27" t="str">
        <f t="shared" si="3"/>
        <v>vis</v>
      </c>
      <c r="E27">
        <f>VLOOKUP(C27,Active!C$21:E$973,3,FALSE)</f>
        <v>415.01914863467852</v>
      </c>
      <c r="F27" s="15" t="s">
        <v>74</v>
      </c>
      <c r="G27" t="str">
        <f t="shared" si="4"/>
        <v>28978.386</v>
      </c>
      <c r="H27" s="22">
        <f t="shared" si="5"/>
        <v>415</v>
      </c>
      <c r="I27" s="54" t="s">
        <v>149</v>
      </c>
      <c r="J27" s="55" t="s">
        <v>150</v>
      </c>
      <c r="K27" s="54">
        <v>415</v>
      </c>
      <c r="L27" s="54" t="s">
        <v>151</v>
      </c>
      <c r="M27" s="55" t="s">
        <v>132</v>
      </c>
      <c r="N27" s="55"/>
      <c r="O27" s="56" t="s">
        <v>133</v>
      </c>
      <c r="P27" s="56" t="s">
        <v>43</v>
      </c>
    </row>
    <row r="28" spans="1:16" ht="12.75" customHeight="1" x14ac:dyDescent="0.2">
      <c r="A28" s="22" t="str">
        <f t="shared" si="0"/>
        <v> VB 5.14 </v>
      </c>
      <c r="B28" s="15" t="str">
        <f t="shared" si="1"/>
        <v>I</v>
      </c>
      <c r="C28" s="22">
        <f t="shared" si="2"/>
        <v>28983.415000000001</v>
      </c>
      <c r="D28" t="str">
        <f t="shared" si="3"/>
        <v>vis</v>
      </c>
      <c r="E28">
        <f>VLOOKUP(C28,Active!C$21:E$973,3,FALSE)</f>
        <v>415.97567690685111</v>
      </c>
      <c r="F28" s="15" t="s">
        <v>74</v>
      </c>
      <c r="G28" t="str">
        <f t="shared" si="4"/>
        <v>28983.415</v>
      </c>
      <c r="H28" s="22">
        <f t="shared" si="5"/>
        <v>416</v>
      </c>
      <c r="I28" s="54" t="s">
        <v>152</v>
      </c>
      <c r="J28" s="55" t="s">
        <v>153</v>
      </c>
      <c r="K28" s="54">
        <v>416</v>
      </c>
      <c r="L28" s="54" t="s">
        <v>154</v>
      </c>
      <c r="M28" s="55" t="s">
        <v>132</v>
      </c>
      <c r="N28" s="55"/>
      <c r="O28" s="56" t="s">
        <v>133</v>
      </c>
      <c r="P28" s="56" t="s">
        <v>43</v>
      </c>
    </row>
    <row r="29" spans="1:16" ht="12.75" customHeight="1" x14ac:dyDescent="0.2">
      <c r="A29" s="22" t="str">
        <f t="shared" si="0"/>
        <v> VB 5.14 </v>
      </c>
      <c r="B29" s="15" t="str">
        <f t="shared" si="1"/>
        <v>I</v>
      </c>
      <c r="C29" s="22">
        <f t="shared" si="2"/>
        <v>29367.421999999999</v>
      </c>
      <c r="D29" t="str">
        <f t="shared" si="3"/>
        <v>vis</v>
      </c>
      <c r="E29">
        <f>VLOOKUP(C29,Active!C$21:E$973,3,FALSE)</f>
        <v>489.01476066346379</v>
      </c>
      <c r="F29" s="15" t="s">
        <v>74</v>
      </c>
      <c r="G29" t="str">
        <f t="shared" si="4"/>
        <v>29367.422</v>
      </c>
      <c r="H29" s="22">
        <f t="shared" si="5"/>
        <v>489</v>
      </c>
      <c r="I29" s="54" t="s">
        <v>155</v>
      </c>
      <c r="J29" s="55" t="s">
        <v>156</v>
      </c>
      <c r="K29" s="54">
        <v>489</v>
      </c>
      <c r="L29" s="54" t="s">
        <v>157</v>
      </c>
      <c r="M29" s="55" t="s">
        <v>132</v>
      </c>
      <c r="N29" s="55"/>
      <c r="O29" s="56" t="s">
        <v>133</v>
      </c>
      <c r="P29" s="56" t="s">
        <v>43</v>
      </c>
    </row>
    <row r="30" spans="1:16" ht="12.75" customHeight="1" x14ac:dyDescent="0.2">
      <c r="A30" s="22" t="str">
        <f t="shared" si="0"/>
        <v> VB 5.14 </v>
      </c>
      <c r="B30" s="15" t="str">
        <f t="shared" si="1"/>
        <v>I</v>
      </c>
      <c r="C30" s="22">
        <f t="shared" si="2"/>
        <v>34451.341</v>
      </c>
      <c r="D30" t="str">
        <f t="shared" si="3"/>
        <v>vis</v>
      </c>
      <c r="E30">
        <f>VLOOKUP(C30,Active!C$21:E$973,3,FALSE)</f>
        <v>1455.9887628374784</v>
      </c>
      <c r="F30" s="15" t="s">
        <v>74</v>
      </c>
      <c r="G30" t="str">
        <f t="shared" si="4"/>
        <v>34451.341</v>
      </c>
      <c r="H30" s="22">
        <f t="shared" si="5"/>
        <v>1456</v>
      </c>
      <c r="I30" s="54" t="s">
        <v>158</v>
      </c>
      <c r="J30" s="55" t="s">
        <v>159</v>
      </c>
      <c r="K30" s="54">
        <v>1456</v>
      </c>
      <c r="L30" s="54" t="s">
        <v>160</v>
      </c>
      <c r="M30" s="55" t="s">
        <v>132</v>
      </c>
      <c r="N30" s="55"/>
      <c r="O30" s="56" t="s">
        <v>133</v>
      </c>
      <c r="P30" s="56" t="s">
        <v>43</v>
      </c>
    </row>
    <row r="31" spans="1:16" ht="12.75" customHeight="1" x14ac:dyDescent="0.2">
      <c r="A31" s="22" t="str">
        <f t="shared" si="0"/>
        <v> VB 5.14 </v>
      </c>
      <c r="B31" s="15" t="str">
        <f t="shared" si="1"/>
        <v>I</v>
      </c>
      <c r="C31" s="22">
        <f t="shared" si="2"/>
        <v>36612.400999999998</v>
      </c>
      <c r="D31" t="str">
        <f t="shared" si="3"/>
        <v>vis</v>
      </c>
      <c r="E31">
        <f>VLOOKUP(C31,Active!C$21:E$973,3,FALSE)</f>
        <v>1867.0277343746279</v>
      </c>
      <c r="F31" s="15" t="s">
        <v>74</v>
      </c>
      <c r="G31" t="str">
        <f t="shared" si="4"/>
        <v>36612.401</v>
      </c>
      <c r="H31" s="22">
        <f t="shared" si="5"/>
        <v>1867</v>
      </c>
      <c r="I31" s="54" t="s">
        <v>161</v>
      </c>
      <c r="J31" s="55" t="s">
        <v>162</v>
      </c>
      <c r="K31" s="54">
        <v>1867</v>
      </c>
      <c r="L31" s="54" t="s">
        <v>163</v>
      </c>
      <c r="M31" s="55" t="s">
        <v>132</v>
      </c>
      <c r="N31" s="55"/>
      <c r="O31" s="56" t="s">
        <v>133</v>
      </c>
      <c r="P31" s="56" t="s">
        <v>43</v>
      </c>
    </row>
    <row r="32" spans="1:16" ht="12.75" customHeight="1" x14ac:dyDescent="0.2">
      <c r="A32" s="22" t="str">
        <f t="shared" si="0"/>
        <v> AOEB 10 </v>
      </c>
      <c r="B32" s="15" t="str">
        <f t="shared" si="1"/>
        <v>I</v>
      </c>
      <c r="C32" s="22">
        <f t="shared" si="2"/>
        <v>43131.900999999998</v>
      </c>
      <c r="D32" t="str">
        <f t="shared" si="3"/>
        <v>vis</v>
      </c>
      <c r="E32">
        <f>VLOOKUP(C32,Active!C$21:E$973,3,FALSE)</f>
        <v>3107.0528030614983</v>
      </c>
      <c r="F32" s="15" t="s">
        <v>74</v>
      </c>
      <c r="G32" t="str">
        <f t="shared" si="4"/>
        <v>43131.901</v>
      </c>
      <c r="H32" s="22">
        <f t="shared" si="5"/>
        <v>3107</v>
      </c>
      <c r="I32" s="54" t="s">
        <v>164</v>
      </c>
      <c r="J32" s="55" t="s">
        <v>165</v>
      </c>
      <c r="K32" s="54">
        <v>3107</v>
      </c>
      <c r="L32" s="54" t="s">
        <v>166</v>
      </c>
      <c r="M32" s="55" t="s">
        <v>167</v>
      </c>
      <c r="N32" s="55"/>
      <c r="O32" s="56" t="s">
        <v>168</v>
      </c>
      <c r="P32" s="56" t="s">
        <v>45</v>
      </c>
    </row>
    <row r="33" spans="1:16" ht="12.75" customHeight="1" x14ac:dyDescent="0.2">
      <c r="A33" s="22" t="str">
        <f t="shared" si="0"/>
        <v> AOEB 10 </v>
      </c>
      <c r="B33" s="15" t="str">
        <f t="shared" si="1"/>
        <v>I</v>
      </c>
      <c r="C33" s="22">
        <f t="shared" si="2"/>
        <v>43131.904000000002</v>
      </c>
      <c r="D33" t="str">
        <f t="shared" si="3"/>
        <v>vis</v>
      </c>
      <c r="E33">
        <f>VLOOKUP(C33,Active!C$21:E$973,3,FALSE)</f>
        <v>3107.0533736689395</v>
      </c>
      <c r="F33" s="15" t="s">
        <v>74</v>
      </c>
      <c r="G33" t="str">
        <f t="shared" si="4"/>
        <v>43131.904</v>
      </c>
      <c r="H33" s="22">
        <f t="shared" si="5"/>
        <v>3107</v>
      </c>
      <c r="I33" s="54" t="s">
        <v>169</v>
      </c>
      <c r="J33" s="55" t="s">
        <v>170</v>
      </c>
      <c r="K33" s="54">
        <v>3107</v>
      </c>
      <c r="L33" s="54" t="s">
        <v>171</v>
      </c>
      <c r="M33" s="55" t="s">
        <v>167</v>
      </c>
      <c r="N33" s="55"/>
      <c r="O33" s="56" t="s">
        <v>103</v>
      </c>
      <c r="P33" s="56" t="s">
        <v>45</v>
      </c>
    </row>
    <row r="34" spans="1:16" ht="12.75" customHeight="1" x14ac:dyDescent="0.2">
      <c r="A34" s="22" t="str">
        <f t="shared" si="0"/>
        <v> AOEB 10 </v>
      </c>
      <c r="B34" s="15" t="str">
        <f t="shared" si="1"/>
        <v>I</v>
      </c>
      <c r="C34" s="22">
        <f t="shared" si="2"/>
        <v>43210.785000000003</v>
      </c>
      <c r="D34" t="str">
        <f t="shared" si="3"/>
        <v>vis</v>
      </c>
      <c r="E34">
        <f>VLOOKUP(C34,Active!C$21:E$973,3,FALSE)</f>
        <v>3122.0567354977748</v>
      </c>
      <c r="F34" s="15" t="s">
        <v>74</v>
      </c>
      <c r="G34" t="str">
        <f t="shared" si="4"/>
        <v>43210.785</v>
      </c>
      <c r="H34" s="22">
        <f t="shared" si="5"/>
        <v>3122</v>
      </c>
      <c r="I34" s="54" t="s">
        <v>172</v>
      </c>
      <c r="J34" s="55" t="s">
        <v>173</v>
      </c>
      <c r="K34" s="54">
        <v>3122</v>
      </c>
      <c r="L34" s="54" t="s">
        <v>174</v>
      </c>
      <c r="M34" s="55" t="s">
        <v>167</v>
      </c>
      <c r="N34" s="55"/>
      <c r="O34" s="56" t="s">
        <v>103</v>
      </c>
      <c r="P34" s="56" t="s">
        <v>45</v>
      </c>
    </row>
    <row r="35" spans="1:16" ht="12.75" customHeight="1" x14ac:dyDescent="0.2">
      <c r="A35" s="22" t="str">
        <f t="shared" si="0"/>
        <v> AOEB 10 </v>
      </c>
      <c r="B35" s="15" t="str">
        <f t="shared" si="1"/>
        <v>I</v>
      </c>
      <c r="C35" s="22">
        <f t="shared" si="2"/>
        <v>43436.841999999997</v>
      </c>
      <c r="D35" t="str">
        <f t="shared" si="3"/>
        <v>vis</v>
      </c>
      <c r="E35">
        <f>VLOOKUP(C35,Active!C$21:E$973,3,FALSE)</f>
        <v>3165.0533375304672</v>
      </c>
      <c r="F35" s="15" t="s">
        <v>74</v>
      </c>
      <c r="G35" t="str">
        <f t="shared" si="4"/>
        <v>43436.842</v>
      </c>
      <c r="H35" s="22">
        <f t="shared" si="5"/>
        <v>3165</v>
      </c>
      <c r="I35" s="54" t="s">
        <v>175</v>
      </c>
      <c r="J35" s="55" t="s">
        <v>176</v>
      </c>
      <c r="K35" s="54">
        <v>3165</v>
      </c>
      <c r="L35" s="54" t="s">
        <v>177</v>
      </c>
      <c r="M35" s="55" t="s">
        <v>167</v>
      </c>
      <c r="N35" s="55"/>
      <c r="O35" s="56" t="s">
        <v>103</v>
      </c>
      <c r="P35" s="56" t="s">
        <v>45</v>
      </c>
    </row>
    <row r="36" spans="1:16" ht="12.75" customHeight="1" x14ac:dyDescent="0.2">
      <c r="A36" s="22" t="str">
        <f t="shared" si="0"/>
        <v> AOEB 10 </v>
      </c>
      <c r="B36" s="15" t="str">
        <f t="shared" si="1"/>
        <v>I</v>
      </c>
      <c r="C36" s="22">
        <f t="shared" si="2"/>
        <v>43883.739000000001</v>
      </c>
      <c r="D36" t="str">
        <f t="shared" si="3"/>
        <v>vis</v>
      </c>
      <c r="E36">
        <f>VLOOKUP(C36,Active!C$21:E$973,3,FALSE)</f>
        <v>3250.0542552574343</v>
      </c>
      <c r="F36" s="15" t="s">
        <v>74</v>
      </c>
      <c r="G36" t="str">
        <f t="shared" si="4"/>
        <v>43883.739</v>
      </c>
      <c r="H36" s="22">
        <f t="shared" si="5"/>
        <v>3250</v>
      </c>
      <c r="I36" s="54" t="s">
        <v>178</v>
      </c>
      <c r="J36" s="55" t="s">
        <v>179</v>
      </c>
      <c r="K36" s="54">
        <v>3250</v>
      </c>
      <c r="L36" s="54" t="s">
        <v>180</v>
      </c>
      <c r="M36" s="55" t="s">
        <v>167</v>
      </c>
      <c r="N36" s="55"/>
      <c r="O36" s="56" t="s">
        <v>103</v>
      </c>
      <c r="P36" s="56" t="s">
        <v>45</v>
      </c>
    </row>
    <row r="37" spans="1:16" ht="12.75" customHeight="1" x14ac:dyDescent="0.2">
      <c r="A37" s="22" t="str">
        <f t="shared" si="0"/>
        <v> AOEB 10 </v>
      </c>
      <c r="B37" s="15" t="str">
        <f t="shared" si="1"/>
        <v>I</v>
      </c>
      <c r="C37" s="22">
        <f t="shared" si="2"/>
        <v>44598.788</v>
      </c>
      <c r="D37" t="str">
        <f t="shared" si="3"/>
        <v>vis</v>
      </c>
      <c r="E37">
        <f>VLOOKUP(C37,Active!C$21:E$973,3,FALSE)</f>
        <v>3386.0583484148046</v>
      </c>
      <c r="F37" s="15" t="s">
        <v>74</v>
      </c>
      <c r="G37" t="str">
        <f t="shared" si="4"/>
        <v>44598.788</v>
      </c>
      <c r="H37" s="22">
        <f t="shared" si="5"/>
        <v>3386</v>
      </c>
      <c r="I37" s="54" t="s">
        <v>181</v>
      </c>
      <c r="J37" s="55" t="s">
        <v>182</v>
      </c>
      <c r="K37" s="54">
        <v>3386</v>
      </c>
      <c r="L37" s="54" t="s">
        <v>183</v>
      </c>
      <c r="M37" s="55" t="s">
        <v>167</v>
      </c>
      <c r="N37" s="55"/>
      <c r="O37" s="56" t="s">
        <v>103</v>
      </c>
      <c r="P37" s="56" t="s">
        <v>45</v>
      </c>
    </row>
    <row r="38" spans="1:16" ht="12.75" customHeight="1" x14ac:dyDescent="0.2">
      <c r="A38" s="22" t="str">
        <f t="shared" si="0"/>
        <v> AOEB 10 </v>
      </c>
      <c r="B38" s="15" t="str">
        <f t="shared" si="1"/>
        <v>I</v>
      </c>
      <c r="C38" s="22">
        <f t="shared" si="2"/>
        <v>44640.866999999998</v>
      </c>
      <c r="D38" t="str">
        <f t="shared" si="3"/>
        <v>vis</v>
      </c>
      <c r="E38">
        <f>VLOOKUP(C38,Active!C$21:E$973,3,FALSE)</f>
        <v>3394.0618785728343</v>
      </c>
      <c r="F38" s="15" t="s">
        <v>74</v>
      </c>
      <c r="G38" t="str">
        <f t="shared" si="4"/>
        <v>44640.867</v>
      </c>
      <c r="H38" s="22">
        <f t="shared" si="5"/>
        <v>3394</v>
      </c>
      <c r="I38" s="54" t="s">
        <v>184</v>
      </c>
      <c r="J38" s="55" t="s">
        <v>185</v>
      </c>
      <c r="K38" s="54">
        <v>3394</v>
      </c>
      <c r="L38" s="54" t="s">
        <v>186</v>
      </c>
      <c r="M38" s="55" t="s">
        <v>167</v>
      </c>
      <c r="N38" s="55"/>
      <c r="O38" s="56" t="s">
        <v>187</v>
      </c>
      <c r="P38" s="56" t="s">
        <v>45</v>
      </c>
    </row>
    <row r="39" spans="1:16" ht="12.75" customHeight="1" x14ac:dyDescent="0.2">
      <c r="A39" s="22" t="str">
        <f t="shared" si="0"/>
        <v>BAVM 43 </v>
      </c>
      <c r="B39" s="15" t="str">
        <f t="shared" si="1"/>
        <v>I</v>
      </c>
      <c r="C39" s="22">
        <f t="shared" si="2"/>
        <v>46365.421000000002</v>
      </c>
      <c r="D39" t="str">
        <f t="shared" si="3"/>
        <v>vis</v>
      </c>
      <c r="E39">
        <f>VLOOKUP(C39,Active!C$21:E$973,3,FALSE)</f>
        <v>3722.0763263532194</v>
      </c>
      <c r="F39" s="15" t="s">
        <v>74</v>
      </c>
      <c r="G39" t="str">
        <f t="shared" si="4"/>
        <v>46365.421</v>
      </c>
      <c r="H39" s="22">
        <f t="shared" si="5"/>
        <v>3722</v>
      </c>
      <c r="I39" s="54" t="s">
        <v>188</v>
      </c>
      <c r="J39" s="55" t="s">
        <v>189</v>
      </c>
      <c r="K39" s="54">
        <v>3722</v>
      </c>
      <c r="L39" s="54" t="s">
        <v>83</v>
      </c>
      <c r="M39" s="55" t="s">
        <v>167</v>
      </c>
      <c r="N39" s="55"/>
      <c r="O39" s="56" t="s">
        <v>190</v>
      </c>
      <c r="P39" s="57" t="s">
        <v>46</v>
      </c>
    </row>
    <row r="40" spans="1:16" ht="12.75" customHeight="1" x14ac:dyDescent="0.2">
      <c r="A40" s="22" t="str">
        <f t="shared" si="0"/>
        <v> AOEB 10 </v>
      </c>
      <c r="B40" s="15" t="str">
        <f t="shared" si="1"/>
        <v>I</v>
      </c>
      <c r="C40" s="22">
        <f t="shared" si="2"/>
        <v>52616.736100000002</v>
      </c>
      <c r="D40" t="str">
        <f t="shared" si="3"/>
        <v>vis</v>
      </c>
      <c r="E40">
        <f>VLOOKUP(C40,Active!C$21:E$973,3,FALSE)</f>
        <v>4911.0919619480919</v>
      </c>
      <c r="F40" s="15" t="s">
        <v>74</v>
      </c>
      <c r="G40" t="str">
        <f t="shared" si="4"/>
        <v>52616.7361</v>
      </c>
      <c r="H40" s="22">
        <f t="shared" si="5"/>
        <v>4911</v>
      </c>
      <c r="I40" s="54" t="s">
        <v>191</v>
      </c>
      <c r="J40" s="55" t="s">
        <v>192</v>
      </c>
      <c r="K40" s="54">
        <v>4911</v>
      </c>
      <c r="L40" s="54" t="s">
        <v>193</v>
      </c>
      <c r="M40" s="55" t="s">
        <v>88</v>
      </c>
      <c r="N40" s="55" t="s">
        <v>96</v>
      </c>
      <c r="O40" s="56" t="s">
        <v>103</v>
      </c>
      <c r="P40" s="56" t="s">
        <v>45</v>
      </c>
    </row>
    <row r="41" spans="1:16" ht="12.75" customHeight="1" x14ac:dyDescent="0.2">
      <c r="A41" s="22" t="str">
        <f t="shared" si="0"/>
        <v> AOEB 10 </v>
      </c>
      <c r="B41" s="15" t="str">
        <f t="shared" si="1"/>
        <v>I</v>
      </c>
      <c r="C41" s="22">
        <f t="shared" si="2"/>
        <v>53473.736100000002</v>
      </c>
      <c r="D41" t="str">
        <f t="shared" si="3"/>
        <v>vis</v>
      </c>
      <c r="E41">
        <f>VLOOKUP(C41,Active!C$21:E$973,3,FALSE)</f>
        <v>5074.09548735106</v>
      </c>
      <c r="F41" s="15" t="s">
        <v>74</v>
      </c>
      <c r="G41" t="str">
        <f t="shared" si="4"/>
        <v>53473.7361</v>
      </c>
      <c r="H41" s="22">
        <f t="shared" si="5"/>
        <v>5074</v>
      </c>
      <c r="I41" s="54" t="s">
        <v>194</v>
      </c>
      <c r="J41" s="55" t="s">
        <v>195</v>
      </c>
      <c r="K41" s="54">
        <v>5074</v>
      </c>
      <c r="L41" s="54" t="s">
        <v>196</v>
      </c>
      <c r="M41" s="55" t="s">
        <v>88</v>
      </c>
      <c r="N41" s="55" t="s">
        <v>96</v>
      </c>
      <c r="O41" s="56" t="s">
        <v>103</v>
      </c>
      <c r="P41" s="56" t="s">
        <v>45</v>
      </c>
    </row>
    <row r="42" spans="1:16" ht="12.75" customHeight="1" x14ac:dyDescent="0.2">
      <c r="A42" s="22" t="str">
        <f t="shared" si="0"/>
        <v> AOEB 10 </v>
      </c>
      <c r="B42" s="15" t="str">
        <f t="shared" si="1"/>
        <v>I</v>
      </c>
      <c r="C42" s="22">
        <f t="shared" si="2"/>
        <v>53505.286999999997</v>
      </c>
      <c r="D42" t="str">
        <f t="shared" si="3"/>
        <v>vis</v>
      </c>
      <c r="E42">
        <f>VLOOKUP(C42,Active!C$21:E$973,3,FALSE)</f>
        <v>5080.0965467788728</v>
      </c>
      <c r="F42" s="15" t="s">
        <v>74</v>
      </c>
      <c r="G42" t="str">
        <f t="shared" si="4"/>
        <v>53505.287</v>
      </c>
      <c r="H42" s="22">
        <f t="shared" si="5"/>
        <v>5080</v>
      </c>
      <c r="I42" s="54" t="s">
        <v>197</v>
      </c>
      <c r="J42" s="55" t="s">
        <v>198</v>
      </c>
      <c r="K42" s="54">
        <v>5080</v>
      </c>
      <c r="L42" s="54" t="s">
        <v>199</v>
      </c>
      <c r="M42" s="55" t="s">
        <v>88</v>
      </c>
      <c r="N42" s="55" t="s">
        <v>96</v>
      </c>
      <c r="O42" s="56" t="s">
        <v>200</v>
      </c>
      <c r="P42" s="56" t="s">
        <v>45</v>
      </c>
    </row>
    <row r="43" spans="1:16" ht="12.75" customHeight="1" x14ac:dyDescent="0.2">
      <c r="A43" s="22" t="str">
        <f t="shared" si="0"/>
        <v> AOEB 12 </v>
      </c>
      <c r="B43" s="15" t="str">
        <f t="shared" si="1"/>
        <v>I</v>
      </c>
      <c r="C43" s="22">
        <f t="shared" si="2"/>
        <v>54125.691099999996</v>
      </c>
      <c r="D43" t="str">
        <f t="shared" si="3"/>
        <v>vis</v>
      </c>
      <c r="E43">
        <f>VLOOKUP(C43,Active!C$21:E$973,3,FALSE)</f>
        <v>5198.0989452321455</v>
      </c>
      <c r="F43" s="15" t="s">
        <v>74</v>
      </c>
      <c r="G43" t="str">
        <f t="shared" si="4"/>
        <v>54125.6911</v>
      </c>
      <c r="H43" s="22">
        <f t="shared" si="5"/>
        <v>5198</v>
      </c>
      <c r="I43" s="54" t="s">
        <v>201</v>
      </c>
      <c r="J43" s="55" t="s">
        <v>202</v>
      </c>
      <c r="K43" s="54" t="s">
        <v>203</v>
      </c>
      <c r="L43" s="54" t="s">
        <v>204</v>
      </c>
      <c r="M43" s="55" t="s">
        <v>88</v>
      </c>
      <c r="N43" s="55" t="s">
        <v>96</v>
      </c>
      <c r="O43" s="56" t="s">
        <v>97</v>
      </c>
      <c r="P43" s="56" t="s">
        <v>51</v>
      </c>
    </row>
    <row r="44" spans="1:16" ht="12.75" customHeight="1" x14ac:dyDescent="0.2">
      <c r="A44" s="22" t="str">
        <f t="shared" si="0"/>
        <v> AOEB 12 </v>
      </c>
      <c r="B44" s="15" t="str">
        <f t="shared" si="1"/>
        <v>I</v>
      </c>
      <c r="C44" s="22">
        <f t="shared" si="2"/>
        <v>54146.722199999997</v>
      </c>
      <c r="D44" t="str">
        <f t="shared" si="3"/>
        <v>vis</v>
      </c>
      <c r="E44">
        <f>VLOOKUP(C44,Active!C$21:E$973,3,FALSE)</f>
        <v>5202.0991126103281</v>
      </c>
      <c r="F44" s="15" t="s">
        <v>74</v>
      </c>
      <c r="G44" t="str">
        <f t="shared" si="4"/>
        <v>54146.7222</v>
      </c>
      <c r="H44" s="22">
        <f t="shared" si="5"/>
        <v>5202</v>
      </c>
      <c r="I44" s="54" t="s">
        <v>205</v>
      </c>
      <c r="J44" s="55" t="s">
        <v>206</v>
      </c>
      <c r="K44" s="54" t="s">
        <v>207</v>
      </c>
      <c r="L44" s="54" t="s">
        <v>208</v>
      </c>
      <c r="M44" s="55" t="s">
        <v>88</v>
      </c>
      <c r="N44" s="55" t="s">
        <v>96</v>
      </c>
      <c r="O44" s="56" t="s">
        <v>103</v>
      </c>
      <c r="P44" s="56" t="s">
        <v>51</v>
      </c>
    </row>
    <row r="45" spans="1:16" ht="12.75" customHeight="1" x14ac:dyDescent="0.2">
      <c r="A45" s="22" t="str">
        <f t="shared" si="0"/>
        <v>VSB 51 </v>
      </c>
      <c r="B45" s="15" t="str">
        <f t="shared" si="1"/>
        <v>I</v>
      </c>
      <c r="C45" s="22">
        <f t="shared" si="2"/>
        <v>55219.290999999997</v>
      </c>
      <c r="D45" t="str">
        <f t="shared" si="3"/>
        <v>vis</v>
      </c>
      <c r="E45">
        <f>VLOOKUP(C45,Active!C$21:E$973,3,FALSE)</f>
        <v>5406.1043583947285</v>
      </c>
      <c r="F45" s="15" t="s">
        <v>74</v>
      </c>
      <c r="G45" t="str">
        <f t="shared" si="4"/>
        <v>55219.2910</v>
      </c>
      <c r="H45" s="22">
        <f t="shared" si="5"/>
        <v>5406</v>
      </c>
      <c r="I45" s="54" t="s">
        <v>209</v>
      </c>
      <c r="J45" s="55" t="s">
        <v>210</v>
      </c>
      <c r="K45" s="54" t="s">
        <v>211</v>
      </c>
      <c r="L45" s="54" t="s">
        <v>212</v>
      </c>
      <c r="M45" s="55" t="s">
        <v>88</v>
      </c>
      <c r="N45" s="55" t="s">
        <v>74</v>
      </c>
      <c r="O45" s="56" t="s">
        <v>213</v>
      </c>
      <c r="P45" s="57" t="s">
        <v>54</v>
      </c>
    </row>
    <row r="46" spans="1:16" ht="12.75" customHeight="1" x14ac:dyDescent="0.2">
      <c r="A46" s="22" t="str">
        <f t="shared" si="0"/>
        <v>OEJV 0137 </v>
      </c>
      <c r="B46" s="15" t="str">
        <f t="shared" si="1"/>
        <v>I</v>
      </c>
      <c r="C46" s="22">
        <f t="shared" si="2"/>
        <v>55592.5821</v>
      </c>
      <c r="D46" t="str">
        <f t="shared" si="3"/>
        <v>vis</v>
      </c>
      <c r="E46">
        <f>VLOOKUP(C46,Active!C$21:E$973,3,FALSE)</f>
        <v>5477.1052513953728</v>
      </c>
      <c r="F46" s="15" t="s">
        <v>74</v>
      </c>
      <c r="G46" t="str">
        <f t="shared" si="4"/>
        <v>55592.5821</v>
      </c>
      <c r="H46" s="22">
        <f t="shared" si="5"/>
        <v>5477</v>
      </c>
      <c r="I46" s="54" t="s">
        <v>214</v>
      </c>
      <c r="J46" s="55" t="s">
        <v>215</v>
      </c>
      <c r="K46" s="54" t="s">
        <v>107</v>
      </c>
      <c r="L46" s="54" t="s">
        <v>216</v>
      </c>
      <c r="M46" s="55" t="s">
        <v>88</v>
      </c>
      <c r="N46" s="55" t="s">
        <v>69</v>
      </c>
      <c r="O46" s="56" t="s">
        <v>217</v>
      </c>
      <c r="P46" s="57" t="s">
        <v>55</v>
      </c>
    </row>
    <row r="47" spans="1:16" ht="12.75" customHeight="1" x14ac:dyDescent="0.2">
      <c r="A47" s="22" t="str">
        <f t="shared" si="0"/>
        <v>BAVM 241 (=IBVS 6157) </v>
      </c>
      <c r="B47" s="15" t="str">
        <f t="shared" si="1"/>
        <v>I</v>
      </c>
      <c r="C47" s="22">
        <f t="shared" si="2"/>
        <v>57080.515099999997</v>
      </c>
      <c r="D47" t="str">
        <f t="shared" si="3"/>
        <v>vis</v>
      </c>
      <c r="E47">
        <f>VLOOKUP(C47,Active!C$21:E$973,3,FALSE)</f>
        <v>5760.1137981438133</v>
      </c>
      <c r="F47" s="15" t="s">
        <v>74</v>
      </c>
      <c r="G47" t="str">
        <f t="shared" si="4"/>
        <v>57080.5151</v>
      </c>
      <c r="H47" s="22">
        <f t="shared" si="5"/>
        <v>5760</v>
      </c>
      <c r="I47" s="54" t="s">
        <v>218</v>
      </c>
      <c r="J47" s="55" t="s">
        <v>219</v>
      </c>
      <c r="K47" s="54" t="s">
        <v>220</v>
      </c>
      <c r="L47" s="54" t="s">
        <v>221</v>
      </c>
      <c r="M47" s="55" t="s">
        <v>88</v>
      </c>
      <c r="N47" s="55" t="s">
        <v>89</v>
      </c>
      <c r="O47" s="56" t="s">
        <v>114</v>
      </c>
      <c r="P47" s="57" t="s">
        <v>222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7" r:id="rId5" xr:uid="{00000000-0004-0000-0100-000004000000}"/>
    <hyperlink ref="P18" r:id="rId6" xr:uid="{00000000-0004-0000-0100-000005000000}"/>
    <hyperlink ref="P19" r:id="rId7" xr:uid="{00000000-0004-0000-0100-000006000000}"/>
    <hyperlink ref="P20" r:id="rId8" xr:uid="{00000000-0004-0000-0100-000007000000}"/>
    <hyperlink ref="P39" r:id="rId9" xr:uid="{00000000-0004-0000-0100-000008000000}"/>
    <hyperlink ref="P45" r:id="rId10" xr:uid="{00000000-0004-0000-0100-000009000000}"/>
    <hyperlink ref="P46" r:id="rId11" xr:uid="{00000000-0004-0000-0100-00000A000000}"/>
    <hyperlink ref="P47" r:id="rId12" xr:uid="{00000000-0004-0000-0100-00000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2023-01-25T04:28:10Z</dcterms:created>
  <dcterms:modified xsi:type="dcterms:W3CDTF">2024-03-09T03:11:26Z</dcterms:modified>
</cp:coreProperties>
</file>