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271E9EB-BAA3-4AA8-BFBE-2E2371CF6E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30" i="1" l="1"/>
  <c r="C17" i="1" s="1"/>
  <c r="A30" i="1"/>
  <c r="E26" i="1"/>
  <c r="E15" i="2" s="1"/>
  <c r="E27" i="1"/>
  <c r="F27" i="1" s="1"/>
  <c r="G27" i="1" s="1"/>
  <c r="K27" i="1" s="1"/>
  <c r="E28" i="1"/>
  <c r="E17" i="2" s="1"/>
  <c r="E29" i="1"/>
  <c r="E18" i="2" s="1"/>
  <c r="F29" i="1"/>
  <c r="G29" i="1" s="1"/>
  <c r="K29" i="1" s="1"/>
  <c r="E21" i="1"/>
  <c r="F21" i="1" s="1"/>
  <c r="G21" i="1" s="1"/>
  <c r="H21" i="1" s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30" i="1"/>
  <c r="F30" i="1"/>
  <c r="G30" i="1" s="1"/>
  <c r="H30" i="1" s="1"/>
  <c r="E31" i="1"/>
  <c r="F31" i="1" s="1"/>
  <c r="G31" i="1" s="1"/>
  <c r="K31" i="1" s="1"/>
  <c r="E32" i="1"/>
  <c r="F32" i="1" s="1"/>
  <c r="G32" i="1" s="1"/>
  <c r="K32" i="1" s="1"/>
  <c r="E33" i="1"/>
  <c r="E13" i="2" s="1"/>
  <c r="F33" i="1"/>
  <c r="G33" i="1" s="1"/>
  <c r="K33" i="1" s="1"/>
  <c r="E34" i="1"/>
  <c r="E14" i="2" s="1"/>
  <c r="D9" i="1"/>
  <c r="C9" i="1"/>
  <c r="Q26" i="1"/>
  <c r="Q27" i="1"/>
  <c r="Q28" i="1"/>
  <c r="Q29" i="1"/>
  <c r="G14" i="2"/>
  <c r="C14" i="2"/>
  <c r="G13" i="2"/>
  <c r="C13" i="2"/>
  <c r="G12" i="2"/>
  <c r="C12" i="2"/>
  <c r="G11" i="2"/>
  <c r="C11" i="2"/>
  <c r="G18" i="2"/>
  <c r="C18" i="2"/>
  <c r="G17" i="2"/>
  <c r="C17" i="2"/>
  <c r="G16" i="2"/>
  <c r="C16" i="2"/>
  <c r="G15" i="2"/>
  <c r="C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Q34" i="1"/>
  <c r="Q33" i="1"/>
  <c r="Q32" i="1"/>
  <c r="Q31" i="1"/>
  <c r="Q30" i="1"/>
  <c r="Q22" i="1"/>
  <c r="Q23" i="1"/>
  <c r="Q24" i="1"/>
  <c r="Q25" i="1"/>
  <c r="F16" i="1"/>
  <c r="F17" i="1" s="1"/>
  <c r="Q21" i="1"/>
  <c r="F34" i="1" l="1"/>
  <c r="G34" i="1" s="1"/>
  <c r="K34" i="1" s="1"/>
  <c r="E12" i="2"/>
  <c r="F26" i="1"/>
  <c r="G26" i="1" s="1"/>
  <c r="K26" i="1" s="1"/>
  <c r="F28" i="1"/>
  <c r="G28" i="1" s="1"/>
  <c r="E16" i="2"/>
  <c r="E11" i="2"/>
  <c r="C11" i="1"/>
  <c r="C12" i="1"/>
  <c r="C16" i="1" l="1"/>
  <c r="D18" i="1" s="1"/>
  <c r="O26" i="1"/>
  <c r="O21" i="1"/>
  <c r="O29" i="1"/>
  <c r="O28" i="1"/>
  <c r="C15" i="1"/>
  <c r="F18" i="1" s="1"/>
  <c r="O24" i="1"/>
  <c r="O33" i="1"/>
  <c r="O27" i="1"/>
  <c r="O25" i="1"/>
  <c r="O30" i="1"/>
  <c r="O22" i="1"/>
  <c r="O31" i="1"/>
  <c r="O32" i="1"/>
  <c r="O23" i="1"/>
  <c r="O34" i="1"/>
  <c r="K28" i="1"/>
  <c r="C18" i="1" l="1"/>
  <c r="F19" i="1"/>
</calcChain>
</file>

<file path=xl/sharedStrings.xml><?xml version="1.0" encoding="utf-8"?>
<sst xmlns="http://schemas.openxmlformats.org/spreadsheetml/2006/main" count="156" uniqueCount="93">
  <si>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</si>
  <si>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</si>
  <si>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</si>
  <si>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</si>
  <si>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</si>
  <si>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</si>
  <si>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</si>
  <si>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</si>
  <si>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</si>
  <si>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</si>
  <si>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</si>
  <si>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</si>
  <si>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</si>
  <si>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</si>
  <si>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</si>
  <si>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</si>
  <si>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</si>
  <si>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</si>
  <si>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</si>
  <si>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</si>
  <si>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</si>
  <si>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</si>
  <si>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</si>
  <si>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</si>
  <si>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</si>
  <si>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</si>
  <si>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</si>
  <si>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</si>
  <si>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</si>
  <si>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</si>
  <si>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</si>
  <si>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</si>
  <si>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</si>
  <si>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</si>
  <si>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</si>
  <si>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</si>
  <si>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</si>
  <si>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</si>
  <si>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</si>
  <si>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AN UMa</t>
  </si>
  <si>
    <t>PE</t>
  </si>
  <si>
    <t>??</t>
  </si>
  <si>
    <t>IBVS 1109</t>
  </si>
  <si>
    <t>AN UMa / GSC na</t>
  </si>
  <si>
    <t>E+XRM</t>
  </si>
  <si>
    <t>IBVS 6048</t>
  </si>
  <si>
    <t>II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</si>
  <si>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</si>
  <si>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</si>
  <si>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</si>
  <si>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</si>
  <si>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</si>
  <si>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</si>
  <si>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</si>
  <si>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</si>
  <si>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</si>
  <si>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</si>
  <si>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2451562.469 </t>
  </si>
  <si>
    <t> 18.01.2000 23:15 </t>
  </si>
  <si>
    <t> 0.014 </t>
  </si>
  <si>
    <t>E </t>
  </si>
  <si>
    <t>R</t>
  </si>
  <si>
    <t> A.Paschke </t>
  </si>
  <si>
    <t> BBS 127 </t>
  </si>
  <si>
    <t>2451562.513 </t>
  </si>
  <si>
    <t> 19.01.2000 00:18 </t>
  </si>
  <si>
    <t> 0.018 </t>
  </si>
  <si>
    <t>2451562.549 </t>
  </si>
  <si>
    <t> 19.01.2000 01:10 </t>
  </si>
  <si>
    <t>2451563.551 </t>
  </si>
  <si>
    <t> 20.01.2000 01:13 </t>
  </si>
  <si>
    <t> 0.019 </t>
  </si>
  <si>
    <t>2456002.3709 </t>
  </si>
  <si>
    <t> 15.03.2012 20:54 </t>
  </si>
  <si>
    <t> 21.9631 </t>
  </si>
  <si>
    <t>C </t>
  </si>
  <si>
    <t>-I</t>
  </si>
  <si>
    <t> F.Agerer </t>
  </si>
  <si>
    <t>BAVM 228 </t>
  </si>
  <si>
    <t>2456002.3990 </t>
  </si>
  <si>
    <t> 15.03.2012 21:34 </t>
  </si>
  <si>
    <t>164121.5</t>
  </si>
  <si>
    <t> 21.9513 </t>
  </si>
  <si>
    <t>2456002.6089 </t>
  </si>
  <si>
    <t> 16.03.2012 02:36 </t>
  </si>
  <si>
    <t>164124</t>
  </si>
  <si>
    <t> 21.9618 </t>
  </si>
  <si>
    <t>2456002.6366 </t>
  </si>
  <si>
    <t> 16.03.2012 03:16 </t>
  </si>
  <si>
    <t>164124.5</t>
  </si>
  <si>
    <t> 21.9497 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</si>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</sst>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UMa - O-C Diagr.</a:t>
            </a:r>
          </a:p>
        </c:rich>
      </c:tx>
      <c:layout>
        <c:manualLayout>
          <c:xMode val="edge"/>
          <c:yMode val="edge"/>
          <c:x val="0.390820613907529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15020862308762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-121551</c:v>
                </c:pt>
                <c:pt idx="2">
                  <c:v>-121539</c:v>
                </c:pt>
                <c:pt idx="3">
                  <c:v>-121529</c:v>
                </c:pt>
                <c:pt idx="4">
                  <c:v>-121527</c:v>
                </c:pt>
                <c:pt idx="5">
                  <c:v>-11755.5</c:v>
                </c:pt>
                <c:pt idx="6">
                  <c:v>-11755</c:v>
                </c:pt>
                <c:pt idx="7">
                  <c:v>-11754.5</c:v>
                </c:pt>
                <c:pt idx="8">
                  <c:v>-11742</c:v>
                </c:pt>
                <c:pt idx="9">
                  <c:v>0</c:v>
                </c:pt>
                <c:pt idx="10">
                  <c:v>43915.5</c:v>
                </c:pt>
                <c:pt idx="11">
                  <c:v>43915.5</c:v>
                </c:pt>
                <c:pt idx="12">
                  <c:v>43918.5</c:v>
                </c:pt>
                <c:pt idx="13">
                  <c:v>43918.5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3.3033834042726085E-3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DD-479D-8DDF-D85BCF1D21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-121551</c:v>
                </c:pt>
                <c:pt idx="2">
                  <c:v>-121539</c:v>
                </c:pt>
                <c:pt idx="3">
                  <c:v>-121529</c:v>
                </c:pt>
                <c:pt idx="4">
                  <c:v>-121527</c:v>
                </c:pt>
                <c:pt idx="5">
                  <c:v>-11755.5</c:v>
                </c:pt>
                <c:pt idx="6">
                  <c:v>-11755</c:v>
                </c:pt>
                <c:pt idx="7">
                  <c:v>-11754.5</c:v>
                </c:pt>
                <c:pt idx="8">
                  <c:v>-11742</c:v>
                </c:pt>
                <c:pt idx="9">
                  <c:v>0</c:v>
                </c:pt>
                <c:pt idx="10">
                  <c:v>43915.5</c:v>
                </c:pt>
                <c:pt idx="11">
                  <c:v>43915.5</c:v>
                </c:pt>
                <c:pt idx="12">
                  <c:v>43918.5</c:v>
                </c:pt>
                <c:pt idx="13">
                  <c:v>43918.5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2.5997400007327087E-3</c:v>
                </c:pt>
                <c:pt idx="2">
                  <c:v>2.0668599972850643E-3</c:v>
                </c:pt>
                <c:pt idx="3">
                  <c:v>1.2394599980325438E-3</c:v>
                </c:pt>
                <c:pt idx="4">
                  <c:v>1.0339799991925247E-3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DD-479D-8DDF-D85BCF1D21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-121551</c:v>
                </c:pt>
                <c:pt idx="2">
                  <c:v>-121539</c:v>
                </c:pt>
                <c:pt idx="3">
                  <c:v>-121529</c:v>
                </c:pt>
                <c:pt idx="4">
                  <c:v>-121527</c:v>
                </c:pt>
                <c:pt idx="5">
                  <c:v>-11755.5</c:v>
                </c:pt>
                <c:pt idx="6">
                  <c:v>-11755</c:v>
                </c:pt>
                <c:pt idx="7">
                  <c:v>-11754.5</c:v>
                </c:pt>
                <c:pt idx="8">
                  <c:v>-11742</c:v>
                </c:pt>
                <c:pt idx="9">
                  <c:v>0</c:v>
                </c:pt>
                <c:pt idx="10">
                  <c:v>43915.5</c:v>
                </c:pt>
                <c:pt idx="11">
                  <c:v>43915.5</c:v>
                </c:pt>
                <c:pt idx="12">
                  <c:v>43918.5</c:v>
                </c:pt>
                <c:pt idx="13">
                  <c:v>43918.5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DD-479D-8DDF-D85BCF1D21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-121551</c:v>
                </c:pt>
                <c:pt idx="2">
                  <c:v>-121539</c:v>
                </c:pt>
                <c:pt idx="3">
                  <c:v>-121529</c:v>
                </c:pt>
                <c:pt idx="4">
                  <c:v>-121527</c:v>
                </c:pt>
                <c:pt idx="5">
                  <c:v>-11755.5</c:v>
                </c:pt>
                <c:pt idx="6">
                  <c:v>-11755</c:v>
                </c:pt>
                <c:pt idx="7">
                  <c:v>-11754.5</c:v>
                </c:pt>
                <c:pt idx="8">
                  <c:v>-11742</c:v>
                </c:pt>
                <c:pt idx="9">
                  <c:v>0</c:v>
                </c:pt>
                <c:pt idx="10">
                  <c:v>43915.5</c:v>
                </c:pt>
                <c:pt idx="11">
                  <c:v>43915.5</c:v>
                </c:pt>
                <c:pt idx="12">
                  <c:v>43918.5</c:v>
                </c:pt>
                <c:pt idx="13">
                  <c:v>43918.5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-1.6649300014250912E-3</c:v>
                </c:pt>
                <c:pt idx="6">
                  <c:v>2.4587000007159077E-3</c:v>
                </c:pt>
                <c:pt idx="7">
                  <c:v>-1.417669998772908E-3</c:v>
                </c:pt>
                <c:pt idx="8">
                  <c:v>3.6730799984070472E-3</c:v>
                </c:pt>
                <c:pt idx="10">
                  <c:v>-1.4553469998645596E-2</c:v>
                </c:pt>
                <c:pt idx="11">
                  <c:v>1.3546529997256584E-2</c:v>
                </c:pt>
                <c:pt idx="12">
                  <c:v>-1.5811689998372458E-2</c:v>
                </c:pt>
                <c:pt idx="13">
                  <c:v>1.1888310000358615E-2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DD-479D-8DDF-D85BCF1D21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-121551</c:v>
                </c:pt>
                <c:pt idx="2">
                  <c:v>-121539</c:v>
                </c:pt>
                <c:pt idx="3">
                  <c:v>-121529</c:v>
                </c:pt>
                <c:pt idx="4">
                  <c:v>-121527</c:v>
                </c:pt>
                <c:pt idx="5">
                  <c:v>-11755.5</c:v>
                </c:pt>
                <c:pt idx="6">
                  <c:v>-11755</c:v>
                </c:pt>
                <c:pt idx="7">
                  <c:v>-11754.5</c:v>
                </c:pt>
                <c:pt idx="8">
                  <c:v>-11742</c:v>
                </c:pt>
                <c:pt idx="9">
                  <c:v>0</c:v>
                </c:pt>
                <c:pt idx="10">
                  <c:v>43915.5</c:v>
                </c:pt>
                <c:pt idx="11">
                  <c:v>43915.5</c:v>
                </c:pt>
                <c:pt idx="12">
                  <c:v>43918.5</c:v>
                </c:pt>
                <c:pt idx="13">
                  <c:v>43918.5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DD-479D-8DDF-D85BCF1D21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-121551</c:v>
                </c:pt>
                <c:pt idx="2">
                  <c:v>-121539</c:v>
                </c:pt>
                <c:pt idx="3">
                  <c:v>-121529</c:v>
                </c:pt>
                <c:pt idx="4">
                  <c:v>-121527</c:v>
                </c:pt>
                <c:pt idx="5">
                  <c:v>-11755.5</c:v>
                </c:pt>
                <c:pt idx="6">
                  <c:v>-11755</c:v>
                </c:pt>
                <c:pt idx="7">
                  <c:v>-11754.5</c:v>
                </c:pt>
                <c:pt idx="8">
                  <c:v>-11742</c:v>
                </c:pt>
                <c:pt idx="9">
                  <c:v>0</c:v>
                </c:pt>
                <c:pt idx="10">
                  <c:v>43915.5</c:v>
                </c:pt>
                <c:pt idx="11">
                  <c:v>43915.5</c:v>
                </c:pt>
                <c:pt idx="12">
                  <c:v>43918.5</c:v>
                </c:pt>
                <c:pt idx="13">
                  <c:v>43918.5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DD-479D-8DDF-D85BCF1D21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-121551</c:v>
                </c:pt>
                <c:pt idx="2">
                  <c:v>-121539</c:v>
                </c:pt>
                <c:pt idx="3">
                  <c:v>-121529</c:v>
                </c:pt>
                <c:pt idx="4">
                  <c:v>-121527</c:v>
                </c:pt>
                <c:pt idx="5">
                  <c:v>-11755.5</c:v>
                </c:pt>
                <c:pt idx="6">
                  <c:v>-11755</c:v>
                </c:pt>
                <c:pt idx="7">
                  <c:v>-11754.5</c:v>
                </c:pt>
                <c:pt idx="8">
                  <c:v>-11742</c:v>
                </c:pt>
                <c:pt idx="9">
                  <c:v>0</c:v>
                </c:pt>
                <c:pt idx="10">
                  <c:v>43915.5</c:v>
                </c:pt>
                <c:pt idx="11">
                  <c:v>43915.5</c:v>
                </c:pt>
                <c:pt idx="12">
                  <c:v>43918.5</c:v>
                </c:pt>
                <c:pt idx="13">
                  <c:v>43918.5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DD-479D-8DDF-D85BCF1D21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-121551</c:v>
                </c:pt>
                <c:pt idx="2">
                  <c:v>-121539</c:v>
                </c:pt>
                <c:pt idx="3">
                  <c:v>-121529</c:v>
                </c:pt>
                <c:pt idx="4">
                  <c:v>-121527</c:v>
                </c:pt>
                <c:pt idx="5">
                  <c:v>-11755.5</c:v>
                </c:pt>
                <c:pt idx="6">
                  <c:v>-11755</c:v>
                </c:pt>
                <c:pt idx="7">
                  <c:v>-11754.5</c:v>
                </c:pt>
                <c:pt idx="8">
                  <c:v>-11742</c:v>
                </c:pt>
                <c:pt idx="9">
                  <c:v>0</c:v>
                </c:pt>
                <c:pt idx="10">
                  <c:v>43915.5</c:v>
                </c:pt>
                <c:pt idx="11">
                  <c:v>43915.5</c:v>
                </c:pt>
                <c:pt idx="12">
                  <c:v>43918.5</c:v>
                </c:pt>
                <c:pt idx="13">
                  <c:v>43918.5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2.1036705419453502E-4</c:v>
                </c:pt>
                <c:pt idx="1">
                  <c:v>2.0522886681778197E-3</c:v>
                </c:pt>
                <c:pt idx="2">
                  <c:v>2.0521068263224026E-3</c:v>
                </c:pt>
                <c:pt idx="3">
                  <c:v>2.0519552914428883E-3</c:v>
                </c:pt>
                <c:pt idx="4">
                  <c:v>2.0519249844669855E-3</c:v>
                </c:pt>
                <c:pt idx="5">
                  <c:v>3.8850388180747524E-4</c:v>
                </c:pt>
                <c:pt idx="6">
                  <c:v>3.8849630506349953E-4</c:v>
                </c:pt>
                <c:pt idx="7">
                  <c:v>3.8848872831952387E-4</c:v>
                </c:pt>
                <c:pt idx="8">
                  <c:v>3.882993097201311E-4</c:v>
                </c:pt>
                <c:pt idx="9">
                  <c:v>2.1036705419453502E-4</c:v>
                </c:pt>
                <c:pt idx="10">
                  <c:v>-4.5510594593613387E-4</c:v>
                </c:pt>
                <c:pt idx="11">
                  <c:v>-4.5510594593613387E-4</c:v>
                </c:pt>
                <c:pt idx="12">
                  <c:v>-4.5515140639998815E-4</c:v>
                </c:pt>
                <c:pt idx="13">
                  <c:v>-4.5515140639998815E-4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DD-479D-8DDF-D85BCF1D212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-121551</c:v>
                </c:pt>
                <c:pt idx="2">
                  <c:v>-121539</c:v>
                </c:pt>
                <c:pt idx="3">
                  <c:v>-121529</c:v>
                </c:pt>
                <c:pt idx="4">
                  <c:v>-121527</c:v>
                </c:pt>
                <c:pt idx="5">
                  <c:v>-11755.5</c:v>
                </c:pt>
                <c:pt idx="6">
                  <c:v>-11755</c:v>
                </c:pt>
                <c:pt idx="7">
                  <c:v>-11754.5</c:v>
                </c:pt>
                <c:pt idx="8">
                  <c:v>-11742</c:v>
                </c:pt>
                <c:pt idx="9">
                  <c:v>0</c:v>
                </c:pt>
                <c:pt idx="10">
                  <c:v>43915.5</c:v>
                </c:pt>
                <c:pt idx="11">
                  <c:v>43915.5</c:v>
                </c:pt>
                <c:pt idx="12">
                  <c:v>43918.5</c:v>
                </c:pt>
                <c:pt idx="13">
                  <c:v>43918.5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DD-479D-8DDF-D85BCF1D2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989768"/>
        <c:axId val="1"/>
      </c:scatterChart>
      <c:valAx>
        <c:axId val="711989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65994521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3641077011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989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974959696385421"/>
          <c:y val="0.92397937099967764"/>
          <c:w val="0.6898470796485596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590550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8458CA5-BB14-D6F6-F801-778DF8BB1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5703125" customWidth="1"/>
  </cols>
  <sheetData>
    <row r="1" spans="1:6" s="28" customFormat="1" ht="20.25" x14ac:dyDescent="0.2">
      <c r="A1" s="56" t="s">
        <v>43</v>
      </c>
      <c r="E1" s="5" t="s">
        <v>39</v>
      </c>
      <c r="F1" s="28" t="s">
        <v>13</v>
      </c>
    </row>
    <row r="2" spans="1:6" s="28" customFormat="1" ht="12.95" customHeight="1" x14ac:dyDescent="0.2">
      <c r="A2" s="28" t="s">
        <v>23</v>
      </c>
      <c r="B2" s="28" t="s">
        <v>44</v>
      </c>
      <c r="C2" s="29"/>
      <c r="D2" s="29"/>
      <c r="E2" s="28">
        <v>0</v>
      </c>
    </row>
    <row r="3" spans="1:6" s="28" customFormat="1" ht="12.95" customHeight="1" thickBot="1" x14ac:dyDescent="0.25"/>
    <row r="4" spans="1:6" s="28" customFormat="1" ht="12.95" customHeight="1" thickTop="1" thickBot="1" x14ac:dyDescent="0.25">
      <c r="A4" s="30" t="s">
        <v>0</v>
      </c>
      <c r="C4" s="31">
        <v>42891.396999999997</v>
      </c>
      <c r="D4" s="32">
        <v>7.9752199999999995E-2</v>
      </c>
    </row>
    <row r="5" spans="1:6" s="28" customFormat="1" ht="12.95" customHeight="1" thickTop="1" x14ac:dyDescent="0.2">
      <c r="A5" s="33" t="s">
        <v>29</v>
      </c>
      <c r="C5" s="34">
        <v>-9.5</v>
      </c>
      <c r="D5" s="28" t="s">
        <v>30</v>
      </c>
    </row>
    <row r="6" spans="1:6" s="28" customFormat="1" ht="12.95" customHeight="1" x14ac:dyDescent="0.2">
      <c r="A6" s="30" t="s">
        <v>1</v>
      </c>
    </row>
    <row r="7" spans="1:6" s="28" customFormat="1" ht="12.95" customHeight="1" x14ac:dyDescent="0.2">
      <c r="A7" s="28" t="s">
        <v>2</v>
      </c>
      <c r="C7" s="28">
        <v>52500.004000000001</v>
      </c>
      <c r="D7" s="35" t="s">
        <v>92</v>
      </c>
    </row>
    <row r="8" spans="1:6" s="28" customFormat="1" ht="12.95" customHeight="1" x14ac:dyDescent="0.2">
      <c r="A8" s="28" t="s">
        <v>3</v>
      </c>
      <c r="C8" s="28">
        <v>7.9752740000000003E-2</v>
      </c>
      <c r="D8" s="35" t="s">
        <v>92</v>
      </c>
    </row>
    <row r="9" spans="1:6" s="28" customFormat="1" ht="12.95" customHeight="1" x14ac:dyDescent="0.2">
      <c r="A9" s="5" t="s">
        <v>34</v>
      </c>
      <c r="B9" s="36">
        <v>21</v>
      </c>
      <c r="C9" s="37" t="str">
        <f>"F"&amp;B9</f>
        <v>F21</v>
      </c>
      <c r="D9" s="38" t="str">
        <f>"G"&amp;B9</f>
        <v>G21</v>
      </c>
    </row>
    <row r="10" spans="1:6" s="28" customFormat="1" ht="12.95" customHeight="1" thickBot="1" x14ac:dyDescent="0.25">
      <c r="C10" s="39" t="s">
        <v>19</v>
      </c>
      <c r="D10" s="39" t="s">
        <v>20</v>
      </c>
    </row>
    <row r="11" spans="1:6" s="28" customFormat="1" ht="12.95" customHeight="1" x14ac:dyDescent="0.2">
      <c r="A11" s="28" t="s">
        <v>15</v>
      </c>
      <c r="C11" s="38">
        <f ca="1">INTERCEPT(INDIRECT($D$9):G992,INDIRECT($C$9):F992)</f>
        <v>2.1036705419453502E-4</v>
      </c>
      <c r="D11" s="29"/>
    </row>
    <row r="12" spans="1:6" s="28" customFormat="1" ht="12.95" customHeight="1" x14ac:dyDescent="0.2">
      <c r="A12" s="28" t="s">
        <v>16</v>
      </c>
      <c r="C12" s="38">
        <f ca="1">SLOPE(INDIRECT($D$9):G992,INDIRECT($C$9):F992)</f>
        <v>-1.515348795142191E-8</v>
      </c>
      <c r="D12" s="29"/>
    </row>
    <row r="13" spans="1:6" s="28" customFormat="1" ht="12.95" customHeight="1" x14ac:dyDescent="0.2">
      <c r="A13" s="28" t="s">
        <v>18</v>
      </c>
      <c r="C13" s="29" t="s">
        <v>13</v>
      </c>
    </row>
    <row r="14" spans="1:6" s="28" customFormat="1" ht="12.95" customHeight="1" x14ac:dyDescent="0.2"/>
    <row r="15" spans="1:6" s="28" customFormat="1" ht="12.95" customHeight="1" x14ac:dyDescent="0.2">
      <c r="A15" s="40" t="s">
        <v>17</v>
      </c>
      <c r="C15" s="41">
        <f ca="1">(C7+C11)+(C8+C12)*INT(MAX(F21:F3533))</f>
        <v>56002.584380176173</v>
      </c>
      <c r="E15" s="35" t="s">
        <v>36</v>
      </c>
      <c r="F15" s="34">
        <v>1</v>
      </c>
    </row>
    <row r="16" spans="1:6" s="28" customFormat="1" ht="12.95" customHeight="1" x14ac:dyDescent="0.2">
      <c r="A16" s="30" t="s">
        <v>4</v>
      </c>
      <c r="C16" s="42">
        <f ca="1">+C8+C12</f>
        <v>7.9752724846512052E-2</v>
      </c>
      <c r="E16" s="35" t="s">
        <v>31</v>
      </c>
      <c r="F16" s="43">
        <f ca="1">NOW()+15018.5+$C$5/24</f>
        <v>60378.677386111107</v>
      </c>
    </row>
    <row r="17" spans="1:18" s="28" customFormat="1" ht="12.95" customHeight="1" thickBot="1" x14ac:dyDescent="0.25">
      <c r="A17" s="35" t="s">
        <v>28</v>
      </c>
      <c r="C17" s="28">
        <f>COUNT(C21:C2191)</f>
        <v>14</v>
      </c>
      <c r="E17" s="35" t="s">
        <v>37</v>
      </c>
      <c r="F17" s="43">
        <f ca="1">ROUND(2*(F16-$C$7)/$C$8,0)/2+F15</f>
        <v>98789.5</v>
      </c>
    </row>
    <row r="18" spans="1:18" s="28" customFormat="1" ht="12.95" customHeight="1" thickTop="1" thickBot="1" x14ac:dyDescent="0.25">
      <c r="A18" s="30" t="s">
        <v>5</v>
      </c>
      <c r="C18" s="44">
        <f ca="1">+C15</f>
        <v>56002.584380176173</v>
      </c>
      <c r="D18" s="45">
        <f ca="1">+C16</f>
        <v>7.9752724846512052E-2</v>
      </c>
      <c r="E18" s="35" t="s">
        <v>32</v>
      </c>
      <c r="F18" s="38">
        <f ca="1">ROUND(2*(F16-$C$15)/$C$16,0)/2+F15</f>
        <v>54872</v>
      </c>
    </row>
    <row r="19" spans="1:18" s="28" customFormat="1" ht="12.95" customHeight="1" thickTop="1" x14ac:dyDescent="0.2">
      <c r="E19" s="35" t="s">
        <v>33</v>
      </c>
      <c r="F19" s="46">
        <f ca="1">+$C$15+$C$16*F18-15018.5-$C$5/24</f>
        <v>45360.671731287315</v>
      </c>
    </row>
    <row r="20" spans="1:18" s="28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12</v>
      </c>
      <c r="E20" s="39" t="s">
        <v>9</v>
      </c>
      <c r="F20" s="39" t="s">
        <v>10</v>
      </c>
      <c r="G20" s="39" t="s">
        <v>11</v>
      </c>
      <c r="H20" s="47" t="s">
        <v>92</v>
      </c>
      <c r="I20" s="47" t="s">
        <v>40</v>
      </c>
      <c r="J20" s="47" t="s">
        <v>49</v>
      </c>
      <c r="K20" s="47" t="s">
        <v>24</v>
      </c>
      <c r="L20" s="47" t="s">
        <v>25</v>
      </c>
      <c r="M20" s="47" t="s">
        <v>26</v>
      </c>
      <c r="N20" s="47" t="s">
        <v>27</v>
      </c>
      <c r="O20" s="47" t="s">
        <v>22</v>
      </c>
      <c r="P20" s="48" t="s">
        <v>21</v>
      </c>
      <c r="Q20" s="39" t="s">
        <v>14</v>
      </c>
      <c r="R20" s="49" t="s">
        <v>35</v>
      </c>
    </row>
    <row r="21" spans="1:18" s="28" customFormat="1" ht="12.95" customHeight="1" x14ac:dyDescent="0.2">
      <c r="A21" s="50" t="s">
        <v>38</v>
      </c>
      <c r="B21" s="50"/>
      <c r="C21" s="7">
        <v>52500.007303383405</v>
      </c>
      <c r="D21" s="7" t="s">
        <v>13</v>
      </c>
      <c r="E21" s="28">
        <f t="shared" ref="E21:E34" si="0">+(C21-C$7)/C$8</f>
        <v>4.142031238390817E-2</v>
      </c>
      <c r="F21" s="28">
        <f t="shared" ref="F21:F34" si="1">ROUND(2*E21,0)/2</f>
        <v>0</v>
      </c>
      <c r="G21" s="28">
        <f t="shared" ref="G21:G34" si="2">+C21-(C$7+F21*C$8)</f>
        <v>3.3033834042726085E-3</v>
      </c>
      <c r="H21" s="28">
        <f>+G21</f>
        <v>3.3033834042726085E-3</v>
      </c>
      <c r="O21" s="28">
        <f t="shared" ref="O21:O34" ca="1" si="3">+C$11+C$12*$F21</f>
        <v>2.1036705419453502E-4</v>
      </c>
      <c r="Q21" s="51">
        <f t="shared" ref="Q21:Q34" si="4">+C21-15018.5</f>
        <v>37481.507303383405</v>
      </c>
    </row>
    <row r="22" spans="1:18" s="28" customFormat="1" ht="12.95" customHeight="1" x14ac:dyDescent="0.2">
      <c r="A22" s="7" t="s">
        <v>42</v>
      </c>
      <c r="B22" s="8" t="s">
        <v>41</v>
      </c>
      <c r="C22" s="7">
        <v>42805.981299999999</v>
      </c>
      <c r="D22" s="7" t="s">
        <v>40</v>
      </c>
      <c r="E22" s="28">
        <f t="shared" si="0"/>
        <v>-121550.96740249929</v>
      </c>
      <c r="F22" s="28">
        <f t="shared" si="1"/>
        <v>-121551</v>
      </c>
      <c r="G22" s="28">
        <f t="shared" si="2"/>
        <v>2.5997400007327087E-3</v>
      </c>
      <c r="I22" s="28">
        <f>+G22</f>
        <v>2.5997400007327087E-3</v>
      </c>
      <c r="O22" s="28">
        <f t="shared" ca="1" si="3"/>
        <v>2.0522886681778197E-3</v>
      </c>
      <c r="Q22" s="51">
        <f t="shared" si="4"/>
        <v>27787.481299999999</v>
      </c>
    </row>
    <row r="23" spans="1:18" s="28" customFormat="1" ht="12.95" customHeight="1" x14ac:dyDescent="0.2">
      <c r="A23" s="7" t="s">
        <v>42</v>
      </c>
      <c r="B23" s="8" t="s">
        <v>41</v>
      </c>
      <c r="C23" s="7">
        <v>42806.9378</v>
      </c>
      <c r="D23" s="7" t="s">
        <v>40</v>
      </c>
      <c r="E23" s="28">
        <f t="shared" si="0"/>
        <v>-121538.9740841506</v>
      </c>
      <c r="F23" s="28">
        <f t="shared" si="1"/>
        <v>-121539</v>
      </c>
      <c r="G23" s="28">
        <f t="shared" si="2"/>
        <v>2.0668599972850643E-3</v>
      </c>
      <c r="I23" s="28">
        <f>+G23</f>
        <v>2.0668599972850643E-3</v>
      </c>
      <c r="O23" s="28">
        <f t="shared" ca="1" si="3"/>
        <v>2.0521068263224026E-3</v>
      </c>
      <c r="Q23" s="51">
        <f t="shared" si="4"/>
        <v>27788.4378</v>
      </c>
    </row>
    <row r="24" spans="1:18" s="28" customFormat="1" ht="12.95" customHeight="1" x14ac:dyDescent="0.2">
      <c r="A24" s="7" t="s">
        <v>42</v>
      </c>
      <c r="B24" s="8" t="s">
        <v>41</v>
      </c>
      <c r="C24" s="7">
        <v>42807.734499999999</v>
      </c>
      <c r="D24" s="7" t="s">
        <v>40</v>
      </c>
      <c r="E24" s="28">
        <f t="shared" si="0"/>
        <v>-121528.9844587158</v>
      </c>
      <c r="F24" s="28">
        <f t="shared" si="1"/>
        <v>-121529</v>
      </c>
      <c r="G24" s="28">
        <f t="shared" si="2"/>
        <v>1.2394599980325438E-3</v>
      </c>
      <c r="I24" s="28">
        <f>+G24</f>
        <v>1.2394599980325438E-3</v>
      </c>
      <c r="O24" s="28">
        <f t="shared" ca="1" si="3"/>
        <v>2.0519552914428883E-3</v>
      </c>
      <c r="Q24" s="51">
        <f t="shared" si="4"/>
        <v>27789.234499999999</v>
      </c>
    </row>
    <row r="25" spans="1:18" s="28" customFormat="1" ht="12.95" customHeight="1" x14ac:dyDescent="0.2">
      <c r="A25" s="7" t="s">
        <v>42</v>
      </c>
      <c r="B25" s="8" t="s">
        <v>41</v>
      </c>
      <c r="C25" s="7">
        <v>42807.893799999998</v>
      </c>
      <c r="D25" s="7" t="s">
        <v>40</v>
      </c>
      <c r="E25" s="28">
        <f t="shared" si="0"/>
        <v>-121526.98703517902</v>
      </c>
      <c r="F25" s="28">
        <f t="shared" si="1"/>
        <v>-121527</v>
      </c>
      <c r="G25" s="28">
        <f t="shared" si="2"/>
        <v>1.0339799991925247E-3</v>
      </c>
      <c r="I25" s="28">
        <f>+G25</f>
        <v>1.0339799991925247E-3</v>
      </c>
      <c r="O25" s="28">
        <f t="shared" ca="1" si="3"/>
        <v>2.0519249844669855E-3</v>
      </c>
      <c r="Q25" s="51">
        <f t="shared" si="4"/>
        <v>27789.393799999998</v>
      </c>
    </row>
    <row r="26" spans="1:18" s="28" customFormat="1" ht="12.95" customHeight="1" x14ac:dyDescent="0.2">
      <c r="A26" s="52" t="s">
        <v>63</v>
      </c>
      <c r="B26" s="53" t="s">
        <v>91</v>
      </c>
      <c r="C26" s="54">
        <v>51562.468999999997</v>
      </c>
      <c r="D26" s="55"/>
      <c r="E26" s="28">
        <f t="shared" si="0"/>
        <v>-11755.520876147997</v>
      </c>
      <c r="F26" s="28">
        <f t="shared" si="1"/>
        <v>-11755.5</v>
      </c>
      <c r="G26" s="28">
        <f t="shared" si="2"/>
        <v>-1.6649300014250912E-3</v>
      </c>
      <c r="K26" s="28">
        <f>+G26</f>
        <v>-1.6649300014250912E-3</v>
      </c>
      <c r="O26" s="28">
        <f t="shared" ca="1" si="3"/>
        <v>3.8850388180747524E-4</v>
      </c>
      <c r="Q26" s="51">
        <f t="shared" si="4"/>
        <v>36543.968999999997</v>
      </c>
    </row>
    <row r="27" spans="1:18" s="28" customFormat="1" ht="12.95" customHeight="1" x14ac:dyDescent="0.2">
      <c r="A27" s="52" t="s">
        <v>63</v>
      </c>
      <c r="B27" s="53" t="s">
        <v>46</v>
      </c>
      <c r="C27" s="54">
        <v>51562.512999999999</v>
      </c>
      <c r="D27" s="55"/>
      <c r="E27" s="28">
        <f t="shared" si="0"/>
        <v>-11754.969170965183</v>
      </c>
      <c r="F27" s="28">
        <f t="shared" si="1"/>
        <v>-11755</v>
      </c>
      <c r="G27" s="28">
        <f t="shared" si="2"/>
        <v>2.4587000007159077E-3</v>
      </c>
      <c r="K27" s="28">
        <f>+G27</f>
        <v>2.4587000007159077E-3</v>
      </c>
      <c r="O27" s="28">
        <f t="shared" ca="1" si="3"/>
        <v>3.8849630506349953E-4</v>
      </c>
      <c r="Q27" s="51">
        <f t="shared" si="4"/>
        <v>36544.012999999999</v>
      </c>
    </row>
    <row r="28" spans="1:18" s="28" customFormat="1" ht="12.95" customHeight="1" x14ac:dyDescent="0.2">
      <c r="A28" s="52" t="s">
        <v>63</v>
      </c>
      <c r="B28" s="53" t="s">
        <v>91</v>
      </c>
      <c r="C28" s="54">
        <v>51562.548999999999</v>
      </c>
      <c r="D28" s="55"/>
      <c r="E28" s="28">
        <f t="shared" si="0"/>
        <v>-11754.517775815624</v>
      </c>
      <c r="F28" s="28">
        <f t="shared" si="1"/>
        <v>-11754.5</v>
      </c>
      <c r="G28" s="28">
        <f t="shared" si="2"/>
        <v>-1.417669998772908E-3</v>
      </c>
      <c r="K28" s="28">
        <f>+G28</f>
        <v>-1.417669998772908E-3</v>
      </c>
      <c r="O28" s="28">
        <f t="shared" ca="1" si="3"/>
        <v>3.8848872831952387E-4</v>
      </c>
      <c r="Q28" s="51">
        <f t="shared" si="4"/>
        <v>36544.048999999999</v>
      </c>
    </row>
    <row r="29" spans="1:18" x14ac:dyDescent="0.2">
      <c r="A29" s="25" t="s">
        <v>63</v>
      </c>
      <c r="B29" s="27" t="s">
        <v>46</v>
      </c>
      <c r="C29" s="26">
        <v>51563.550999999999</v>
      </c>
      <c r="D29" s="3"/>
      <c r="E29">
        <f t="shared" si="0"/>
        <v>-11741.953944152907</v>
      </c>
      <c r="F29">
        <f t="shared" si="1"/>
        <v>-11742</v>
      </c>
      <c r="G29">
        <f t="shared" si="2"/>
        <v>3.6730799984070472E-3</v>
      </c>
      <c r="K29">
        <f>+G29</f>
        <v>3.6730799984070472E-3</v>
      </c>
      <c r="O29">
        <f t="shared" ca="1" si="3"/>
        <v>3.882993097201311E-4</v>
      </c>
      <c r="Q29" s="1">
        <f t="shared" si="4"/>
        <v>36545.050999999999</v>
      </c>
    </row>
    <row r="30" spans="1:18" x14ac:dyDescent="0.2">
      <c r="A30" s="6" t="str">
        <f>$D$7</f>
        <v>VSX</v>
      </c>
      <c r="C30" s="3">
        <f>$C$7</f>
        <v>52500.004000000001</v>
      </c>
      <c r="E30">
        <f t="shared" si="0"/>
        <v>0</v>
      </c>
      <c r="F30">
        <f t="shared" si="1"/>
        <v>0</v>
      </c>
      <c r="G30">
        <f t="shared" si="2"/>
        <v>0</v>
      </c>
      <c r="H30">
        <f>+G30</f>
        <v>0</v>
      </c>
      <c r="O30">
        <f t="shared" ca="1" si="3"/>
        <v>2.1036705419453502E-4</v>
      </c>
      <c r="Q30" s="1">
        <f t="shared" si="4"/>
        <v>37481.504000000001</v>
      </c>
    </row>
    <row r="31" spans="1:18" x14ac:dyDescent="0.2">
      <c r="A31" s="9" t="s">
        <v>45</v>
      </c>
      <c r="B31" s="10" t="s">
        <v>46</v>
      </c>
      <c r="C31" s="11">
        <v>56002.370900000002</v>
      </c>
      <c r="D31" s="11">
        <v>1E-4</v>
      </c>
      <c r="E31">
        <f t="shared" si="0"/>
        <v>43915.317517617586</v>
      </c>
      <c r="F31">
        <f t="shared" si="1"/>
        <v>43915.5</v>
      </c>
      <c r="G31">
        <f t="shared" si="2"/>
        <v>-1.4553469998645596E-2</v>
      </c>
      <c r="K31">
        <f>+G31</f>
        <v>-1.4553469998645596E-2</v>
      </c>
      <c r="O31">
        <f t="shared" ca="1" si="3"/>
        <v>-4.5510594593613387E-4</v>
      </c>
      <c r="Q31" s="1">
        <f t="shared" si="4"/>
        <v>40983.870900000002</v>
      </c>
    </row>
    <row r="32" spans="1:18" x14ac:dyDescent="0.2">
      <c r="A32" s="9" t="s">
        <v>45</v>
      </c>
      <c r="B32" s="10" t="s">
        <v>46</v>
      </c>
      <c r="C32" s="11">
        <v>56002.398999999998</v>
      </c>
      <c r="D32" s="11">
        <v>4.0000000000000002E-4</v>
      </c>
      <c r="E32">
        <f t="shared" si="0"/>
        <v>43915.669856609275</v>
      </c>
      <c r="F32">
        <f t="shared" si="1"/>
        <v>43915.5</v>
      </c>
      <c r="G32">
        <f t="shared" si="2"/>
        <v>1.3546529997256584E-2</v>
      </c>
      <c r="K32">
        <f>+G32</f>
        <v>1.3546529997256584E-2</v>
      </c>
      <c r="O32">
        <f t="shared" ca="1" si="3"/>
        <v>-4.5510594593613387E-4</v>
      </c>
      <c r="Q32" s="1">
        <f t="shared" si="4"/>
        <v>40983.898999999998</v>
      </c>
    </row>
    <row r="33" spans="1:17" x14ac:dyDescent="0.2">
      <c r="A33" s="9" t="s">
        <v>45</v>
      </c>
      <c r="B33" s="10" t="s">
        <v>46</v>
      </c>
      <c r="C33" s="11">
        <v>56002.608899999999</v>
      </c>
      <c r="D33" s="11">
        <v>2.0000000000000001E-4</v>
      </c>
      <c r="E33">
        <f t="shared" si="0"/>
        <v>43918.301741106305</v>
      </c>
      <c r="F33">
        <f t="shared" si="1"/>
        <v>43918.5</v>
      </c>
      <c r="G33">
        <f t="shared" si="2"/>
        <v>-1.5811689998372458E-2</v>
      </c>
      <c r="K33">
        <f>+G33</f>
        <v>-1.5811689998372458E-2</v>
      </c>
      <c r="O33">
        <f t="shared" ca="1" si="3"/>
        <v>-4.5515140639998815E-4</v>
      </c>
      <c r="Q33" s="1">
        <f t="shared" si="4"/>
        <v>40984.108899999999</v>
      </c>
    </row>
    <row r="34" spans="1:17" x14ac:dyDescent="0.2">
      <c r="A34" s="9" t="s">
        <v>45</v>
      </c>
      <c r="B34" s="10" t="s">
        <v>46</v>
      </c>
      <c r="C34" s="11">
        <v>56002.636599999998</v>
      </c>
      <c r="D34" s="11">
        <v>2.0000000000000001E-4</v>
      </c>
      <c r="E34">
        <f t="shared" si="0"/>
        <v>43918.649064596364</v>
      </c>
      <c r="F34">
        <f t="shared" si="1"/>
        <v>43918.5</v>
      </c>
      <c r="G34">
        <f t="shared" si="2"/>
        <v>1.1888310000358615E-2</v>
      </c>
      <c r="K34">
        <f>+G34</f>
        <v>1.1888310000358615E-2</v>
      </c>
      <c r="O34">
        <f t="shared" ca="1" si="3"/>
        <v>-4.5515140639998815E-4</v>
      </c>
      <c r="Q34" s="1">
        <f t="shared" si="4"/>
        <v>40984.136599999998</v>
      </c>
    </row>
    <row r="35" spans="1:17" x14ac:dyDescent="0.2">
      <c r="C35" s="3"/>
      <c r="D35" s="3"/>
    </row>
    <row r="36" spans="1:17" x14ac:dyDescent="0.2">
      <c r="C36" s="3"/>
      <c r="D36" s="3"/>
    </row>
    <row r="37" spans="1:17" x14ac:dyDescent="0.2">
      <c r="C37" s="3"/>
      <c r="D37" s="3"/>
    </row>
    <row r="38" spans="1:17" x14ac:dyDescent="0.2">
      <c r="C38" s="3"/>
      <c r="D38" s="3"/>
    </row>
    <row r="39" spans="1:17" x14ac:dyDescent="0.2">
      <c r="C39" s="3"/>
      <c r="D39" s="3"/>
    </row>
    <row r="40" spans="1:17" x14ac:dyDescent="0.2">
      <c r="C40" s="3"/>
      <c r="D40" s="3"/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4"/>
  <sheetViews>
    <sheetView workbookViewId="0">
      <selection activeCell="A15" sqref="A15:C18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2" t="s">
        <v>47</v>
      </c>
      <c r="I1" s="13" t="s">
        <v>48</v>
      </c>
      <c r="J1" s="14" t="s">
        <v>49</v>
      </c>
    </row>
    <row r="2" spans="1:16" x14ac:dyDescent="0.2">
      <c r="I2" s="15" t="s">
        <v>50</v>
      </c>
      <c r="J2" s="16" t="s">
        <v>40</v>
      </c>
    </row>
    <row r="3" spans="1:16" x14ac:dyDescent="0.2">
      <c r="A3" s="17" t="s">
        <v>51</v>
      </c>
      <c r="I3" s="15" t="s">
        <v>52</v>
      </c>
      <c r="J3" s="16" t="s">
        <v>53</v>
      </c>
    </row>
    <row r="4" spans="1:16" x14ac:dyDescent="0.2">
      <c r="I4" s="15" t="s">
        <v>54</v>
      </c>
      <c r="J4" s="16" t="s">
        <v>53</v>
      </c>
    </row>
    <row r="5" spans="1:16" ht="13.5" thickBot="1" x14ac:dyDescent="0.25">
      <c r="I5" s="18" t="s">
        <v>55</v>
      </c>
      <c r="J5" s="19" t="s">
        <v>56</v>
      </c>
    </row>
    <row r="10" spans="1:16" ht="13.5" thickBot="1" x14ac:dyDescent="0.25"/>
    <row r="11" spans="1:16" ht="12.75" customHeight="1" thickBot="1" x14ac:dyDescent="0.25">
      <c r="A11" s="3" t="str">
        <f t="shared" ref="A11:A18" si="0">P11</f>
        <v>BAVM 228 </v>
      </c>
      <c r="B11" s="2" t="str">
        <f t="shared" ref="B11:B18" si="1">IF(H11=INT(H11),"I","II")</f>
        <v>I</v>
      </c>
      <c r="C11" s="3">
        <f t="shared" ref="C11:C18" si="2">1*G11</f>
        <v>56002.370900000002</v>
      </c>
      <c r="D11" s="4" t="str">
        <f t="shared" ref="D11:D18" si="3">VLOOKUP(F11,I$1:J$5,2,FALSE)</f>
        <v>vis</v>
      </c>
      <c r="E11" s="20">
        <f>VLOOKUP(C11,Active!C$21:E$973,3,FALSE)</f>
        <v>43915.317517617586</v>
      </c>
      <c r="F11" s="2" t="s">
        <v>55</v>
      </c>
      <c r="G11" s="4" t="str">
        <f t="shared" ref="G11:G18" si="4">MID(I11,3,LEN(I11)-3)</f>
        <v>56002.3709</v>
      </c>
      <c r="H11" s="3">
        <f t="shared" ref="H11:H18" si="5">1*K11</f>
        <v>164121</v>
      </c>
      <c r="I11" s="21" t="s">
        <v>72</v>
      </c>
      <c r="J11" s="22" t="s">
        <v>73</v>
      </c>
      <c r="K11" s="21">
        <v>164121</v>
      </c>
      <c r="L11" s="21" t="s">
        <v>74</v>
      </c>
      <c r="M11" s="22" t="s">
        <v>75</v>
      </c>
      <c r="N11" s="22" t="s">
        <v>76</v>
      </c>
      <c r="O11" s="23" t="s">
        <v>77</v>
      </c>
      <c r="P11" s="24" t="s">
        <v>78</v>
      </c>
    </row>
    <row r="12" spans="1:16" ht="12.75" customHeight="1" thickBot="1" x14ac:dyDescent="0.25">
      <c r="A12" s="3" t="str">
        <f t="shared" si="0"/>
        <v>BAVM 228 </v>
      </c>
      <c r="B12" s="2" t="str">
        <f t="shared" si="1"/>
        <v>II</v>
      </c>
      <c r="C12" s="3">
        <f t="shared" si="2"/>
        <v>56002.398999999998</v>
      </c>
      <c r="D12" s="4" t="str">
        <f t="shared" si="3"/>
        <v>vis</v>
      </c>
      <c r="E12" s="20">
        <f>VLOOKUP(C12,Active!C$21:E$973,3,FALSE)</f>
        <v>43915.669856609275</v>
      </c>
      <c r="F12" s="2" t="s">
        <v>55</v>
      </c>
      <c r="G12" s="4" t="str">
        <f t="shared" si="4"/>
        <v>56002.3990</v>
      </c>
      <c r="H12" s="3">
        <f t="shared" si="5"/>
        <v>164121.5</v>
      </c>
      <c r="I12" s="21" t="s">
        <v>79</v>
      </c>
      <c r="J12" s="22" t="s">
        <v>80</v>
      </c>
      <c r="K12" s="21" t="s">
        <v>81</v>
      </c>
      <c r="L12" s="21" t="s">
        <v>82</v>
      </c>
      <c r="M12" s="22" t="s">
        <v>75</v>
      </c>
      <c r="N12" s="22" t="s">
        <v>76</v>
      </c>
      <c r="O12" s="23" t="s">
        <v>77</v>
      </c>
      <c r="P12" s="24" t="s">
        <v>78</v>
      </c>
    </row>
    <row r="13" spans="1:16" ht="12.75" customHeight="1" thickBot="1" x14ac:dyDescent="0.25">
      <c r="A13" s="3" t="str">
        <f t="shared" si="0"/>
        <v>BAVM 228 </v>
      </c>
      <c r="B13" s="2" t="str">
        <f t="shared" si="1"/>
        <v>I</v>
      </c>
      <c r="C13" s="3">
        <f t="shared" si="2"/>
        <v>56002.608899999999</v>
      </c>
      <c r="D13" s="4" t="str">
        <f t="shared" si="3"/>
        <v>vis</v>
      </c>
      <c r="E13" s="20">
        <f>VLOOKUP(C13,Active!C$21:E$973,3,FALSE)</f>
        <v>43918.301741106305</v>
      </c>
      <c r="F13" s="2" t="s">
        <v>55</v>
      </c>
      <c r="G13" s="4" t="str">
        <f t="shared" si="4"/>
        <v>56002.6089</v>
      </c>
      <c r="H13" s="3">
        <f t="shared" si="5"/>
        <v>164124</v>
      </c>
      <c r="I13" s="21" t="s">
        <v>83</v>
      </c>
      <c r="J13" s="22" t="s">
        <v>84</v>
      </c>
      <c r="K13" s="21" t="s">
        <v>85</v>
      </c>
      <c r="L13" s="21" t="s">
        <v>86</v>
      </c>
      <c r="M13" s="22" t="s">
        <v>75</v>
      </c>
      <c r="N13" s="22" t="s">
        <v>76</v>
      </c>
      <c r="O13" s="23" t="s">
        <v>77</v>
      </c>
      <c r="P13" s="24" t="s">
        <v>78</v>
      </c>
    </row>
    <row r="14" spans="1:16" ht="12.75" customHeight="1" thickBot="1" x14ac:dyDescent="0.25">
      <c r="A14" s="3" t="str">
        <f t="shared" si="0"/>
        <v>BAVM 228 </v>
      </c>
      <c r="B14" s="2" t="str">
        <f t="shared" si="1"/>
        <v>II</v>
      </c>
      <c r="C14" s="3">
        <f t="shared" si="2"/>
        <v>56002.636599999998</v>
      </c>
      <c r="D14" s="4" t="str">
        <f t="shared" si="3"/>
        <v>vis</v>
      </c>
      <c r="E14" s="20">
        <f>VLOOKUP(C14,Active!C$21:E$973,3,FALSE)</f>
        <v>43918.649064596364</v>
      </c>
      <c r="F14" s="2" t="s">
        <v>55</v>
      </c>
      <c r="G14" s="4" t="str">
        <f t="shared" si="4"/>
        <v>56002.6366</v>
      </c>
      <c r="H14" s="3">
        <f t="shared" si="5"/>
        <v>164124.5</v>
      </c>
      <c r="I14" s="21" t="s">
        <v>87</v>
      </c>
      <c r="J14" s="22" t="s">
        <v>88</v>
      </c>
      <c r="K14" s="21" t="s">
        <v>89</v>
      </c>
      <c r="L14" s="21" t="s">
        <v>90</v>
      </c>
      <c r="M14" s="22" t="s">
        <v>75</v>
      </c>
      <c r="N14" s="22" t="s">
        <v>76</v>
      </c>
      <c r="O14" s="23" t="s">
        <v>77</v>
      </c>
      <c r="P14" s="24" t="s">
        <v>78</v>
      </c>
    </row>
    <row r="15" spans="1:16" ht="12.75" customHeight="1" thickBot="1" x14ac:dyDescent="0.25">
      <c r="A15" s="3" t="str">
        <f t="shared" si="0"/>
        <v> BBS 127 </v>
      </c>
      <c r="B15" s="2" t="str">
        <f t="shared" si="1"/>
        <v>I</v>
      </c>
      <c r="C15" s="3">
        <f t="shared" si="2"/>
        <v>51562.468999999997</v>
      </c>
      <c r="D15" s="4" t="str">
        <f t="shared" si="3"/>
        <v>vis</v>
      </c>
      <c r="E15" s="20">
        <f>VLOOKUP(C15,Active!C$21:E$973,3,FALSE)</f>
        <v>-11755.520876147997</v>
      </c>
      <c r="F15" s="2" t="s">
        <v>55</v>
      </c>
      <c r="G15" s="4" t="str">
        <f t="shared" si="4"/>
        <v>51562.469</v>
      </c>
      <c r="H15" s="3">
        <f t="shared" si="5"/>
        <v>108725</v>
      </c>
      <c r="I15" s="21" t="s">
        <v>57</v>
      </c>
      <c r="J15" s="22" t="s">
        <v>58</v>
      </c>
      <c r="K15" s="21">
        <v>108725</v>
      </c>
      <c r="L15" s="21" t="s">
        <v>59</v>
      </c>
      <c r="M15" s="22" t="s">
        <v>60</v>
      </c>
      <c r="N15" s="22" t="s">
        <v>61</v>
      </c>
      <c r="O15" s="23" t="s">
        <v>62</v>
      </c>
      <c r="P15" s="23" t="s">
        <v>63</v>
      </c>
    </row>
    <row r="16" spans="1:16" ht="12.75" customHeight="1" thickBot="1" x14ac:dyDescent="0.25">
      <c r="A16" s="3" t="str">
        <f t="shared" si="0"/>
        <v> BBS 127 </v>
      </c>
      <c r="B16" s="2" t="str">
        <f t="shared" si="1"/>
        <v>II</v>
      </c>
      <c r="C16" s="3">
        <f t="shared" si="2"/>
        <v>51562.512999999999</v>
      </c>
      <c r="D16" s="4" t="str">
        <f t="shared" si="3"/>
        <v>vis</v>
      </c>
      <c r="E16" s="20">
        <f>VLOOKUP(C16,Active!C$21:E$973,3,FALSE)</f>
        <v>-11754.969170965183</v>
      </c>
      <c r="F16" s="2" t="s">
        <v>55</v>
      </c>
      <c r="G16" s="4" t="str">
        <f t="shared" si="4"/>
        <v>51562.513</v>
      </c>
      <c r="H16" s="3">
        <f t="shared" si="5"/>
        <v>108725.5</v>
      </c>
      <c r="I16" s="21" t="s">
        <v>64</v>
      </c>
      <c r="J16" s="22" t="s">
        <v>65</v>
      </c>
      <c r="K16" s="21">
        <v>108725.5</v>
      </c>
      <c r="L16" s="21" t="s">
        <v>66</v>
      </c>
      <c r="M16" s="22" t="s">
        <v>60</v>
      </c>
      <c r="N16" s="22" t="s">
        <v>61</v>
      </c>
      <c r="O16" s="23" t="s">
        <v>62</v>
      </c>
      <c r="P16" s="23" t="s">
        <v>63</v>
      </c>
    </row>
    <row r="17" spans="1:16" ht="12.75" customHeight="1" thickBot="1" x14ac:dyDescent="0.25">
      <c r="A17" s="3" t="str">
        <f t="shared" si="0"/>
        <v> BBS 127 </v>
      </c>
      <c r="B17" s="2" t="str">
        <f t="shared" si="1"/>
        <v>I</v>
      </c>
      <c r="C17" s="3">
        <f t="shared" si="2"/>
        <v>51562.548999999999</v>
      </c>
      <c r="D17" s="4" t="str">
        <f t="shared" si="3"/>
        <v>vis</v>
      </c>
      <c r="E17" s="20">
        <f>VLOOKUP(C17,Active!C$21:E$973,3,FALSE)</f>
        <v>-11754.517775815624</v>
      </c>
      <c r="F17" s="2" t="s">
        <v>55</v>
      </c>
      <c r="G17" s="4" t="str">
        <f t="shared" si="4"/>
        <v>51562.549</v>
      </c>
      <c r="H17" s="3">
        <f t="shared" si="5"/>
        <v>108726</v>
      </c>
      <c r="I17" s="21" t="s">
        <v>67</v>
      </c>
      <c r="J17" s="22" t="s">
        <v>68</v>
      </c>
      <c r="K17" s="21">
        <v>108726</v>
      </c>
      <c r="L17" s="21" t="s">
        <v>59</v>
      </c>
      <c r="M17" s="22" t="s">
        <v>60</v>
      </c>
      <c r="N17" s="22" t="s">
        <v>61</v>
      </c>
      <c r="O17" s="23" t="s">
        <v>62</v>
      </c>
      <c r="P17" s="23" t="s">
        <v>63</v>
      </c>
    </row>
    <row r="18" spans="1:16" ht="12.75" customHeight="1" thickBot="1" x14ac:dyDescent="0.25">
      <c r="A18" s="3" t="str">
        <f t="shared" si="0"/>
        <v> BBS 127 </v>
      </c>
      <c r="B18" s="2" t="str">
        <f t="shared" si="1"/>
        <v>II</v>
      </c>
      <c r="C18" s="3">
        <f t="shared" si="2"/>
        <v>51563.550999999999</v>
      </c>
      <c r="D18" s="4" t="str">
        <f t="shared" si="3"/>
        <v>vis</v>
      </c>
      <c r="E18" s="20">
        <f>VLOOKUP(C18,Active!C$21:E$973,3,FALSE)</f>
        <v>-11741.953944152907</v>
      </c>
      <c r="F18" s="2" t="s">
        <v>55</v>
      </c>
      <c r="G18" s="4" t="str">
        <f t="shared" si="4"/>
        <v>51563.551</v>
      </c>
      <c r="H18" s="3">
        <f t="shared" si="5"/>
        <v>108738.5</v>
      </c>
      <c r="I18" s="21" t="s">
        <v>69</v>
      </c>
      <c r="J18" s="22" t="s">
        <v>70</v>
      </c>
      <c r="K18" s="21">
        <v>108738.5</v>
      </c>
      <c r="L18" s="21" t="s">
        <v>71</v>
      </c>
      <c r="M18" s="22" t="s">
        <v>60</v>
      </c>
      <c r="N18" s="22" t="s">
        <v>61</v>
      </c>
      <c r="O18" s="23" t="s">
        <v>62</v>
      </c>
      <c r="P18" s="23" t="s">
        <v>63</v>
      </c>
    </row>
    <row r="19" spans="1:16" x14ac:dyDescent="0.2">
      <c r="B19" s="2"/>
      <c r="F19" s="2"/>
    </row>
    <row r="20" spans="1:16" x14ac:dyDescent="0.2">
      <c r="B20" s="2"/>
      <c r="F20" s="2"/>
    </row>
    <row r="21" spans="1:16" x14ac:dyDescent="0.2">
      <c r="B21" s="2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</sheetData>
  <phoneticPr fontId="7" type="noConversion"/>
  <hyperlinks>
    <hyperlink ref="P11" r:id="rId1" display="http://www.bav-astro.de/sfs/BAVM_link.php?BAVMnr=228"/>
    <hyperlink ref="P12" r:id="rId2" display="http://www.bav-astro.de/sfs/BAVM_link.php?BAVMnr=228"/>
    <hyperlink ref="P13" r:id="rId3" display="http://www.bav-astro.de/sfs/BAVM_link.php?BAVMnr=228"/>
    <hyperlink ref="P14" r:id="rId4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2024-03-09T03:15:26Z</dcterms:modified>
</cp:coreProperties>
</file>