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C12E41-71FE-4193-AC1D-E11DEA7EDD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2" i="1"/>
  <c r="F32" i="1" s="1"/>
  <c r="G32" i="1" s="1"/>
  <c r="K32" i="1" s="1"/>
  <c r="Q32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/>
  <c r="G27" i="1"/>
  <c r="K27" i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Q24" i="1"/>
  <c r="C7" i="1"/>
  <c r="E24" i="1"/>
  <c r="F24" i="1"/>
  <c r="G24" i="1"/>
  <c r="K24" i="1"/>
  <c r="C8" i="1"/>
  <c r="D9" i="1"/>
  <c r="C9" i="1"/>
  <c r="C21" i="1"/>
  <c r="E21" i="1"/>
  <c r="F21" i="1"/>
  <c r="E22" i="1"/>
  <c r="F22" i="1"/>
  <c r="G22" i="1"/>
  <c r="K22" i="1"/>
  <c r="E23" i="1"/>
  <c r="F23" i="1"/>
  <c r="G23" i="1"/>
  <c r="K23" i="1"/>
  <c r="G13" i="2"/>
  <c r="C13" i="2"/>
  <c r="E13" i="2"/>
  <c r="G12" i="2"/>
  <c r="C12" i="2"/>
  <c r="E12" i="2"/>
  <c r="G11" i="2"/>
  <c r="C11" i="2"/>
  <c r="E11" i="2"/>
  <c r="H13" i="2"/>
  <c r="D13" i="2"/>
  <c r="B13" i="2"/>
  <c r="A13" i="2"/>
  <c r="H12" i="2"/>
  <c r="D12" i="2"/>
  <c r="B12" i="2"/>
  <c r="A12" i="2"/>
  <c r="H11" i="2"/>
  <c r="D11" i="2"/>
  <c r="B11" i="2"/>
  <c r="A11" i="2"/>
  <c r="F16" i="1"/>
  <c r="F17" i="1" s="1"/>
  <c r="C17" i="1"/>
  <c r="Q23" i="1"/>
  <c r="Q22" i="1"/>
  <c r="Q21" i="1"/>
  <c r="G21" i="1"/>
  <c r="H21" i="1"/>
  <c r="C11" i="1"/>
  <c r="C12" i="1"/>
  <c r="O32" i="1" l="1"/>
  <c r="O31" i="1"/>
  <c r="O27" i="1"/>
  <c r="O26" i="1"/>
  <c r="O30" i="1"/>
  <c r="O28" i="1"/>
  <c r="O25" i="1"/>
  <c r="O29" i="1"/>
  <c r="C16" i="1"/>
  <c r="D18" i="1" s="1"/>
  <c r="O23" i="1"/>
  <c r="O24" i="1"/>
  <c r="O21" i="1"/>
  <c r="O22" i="1"/>
  <c r="C15" i="1"/>
  <c r="C18" i="1" l="1"/>
  <c r="F18" i="1"/>
  <c r="F19" i="1" s="1"/>
</calcChain>
</file>

<file path=xl/sharedStrings.xml><?xml version="1.0" encoding="utf-8"?>
<sst xmlns="http://schemas.openxmlformats.org/spreadsheetml/2006/main" count="103" uniqueCount="80">
  <si>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</si>
  <si>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</si>
  <si>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</si>
  <si>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</si>
  <si>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</si>
  <si>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</si>
  <si>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</si>
  <si>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</si>
  <si>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</si>
  <si>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</si>
  <si>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</si>
  <si>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</si>
  <si>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</si>
  <si>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</si>
  <si>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</si>
  <si>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</si>
  <si>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</si>
  <si>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</si>
  <si>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</si>
  <si>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</si>
  <si>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</si>
  <si>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</si>
  <si>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</si>
  <si>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</si>
  <si>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</si>
  <si>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</si>
  <si>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</si>
  <si>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ELL:</t>
  </si>
  <si>
    <t>IBVS 5643</t>
  </si>
  <si>
    <t># of data points: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</si>
  <si>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</si>
  <si>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</si>
  <si>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</si>
  <si>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</si>
  <si>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</si>
  <si>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</si>
  <si>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</si>
  <si>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</si>
  <si>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5760</t>
  </si>
  <si>
    <t>BG UMa / gsc 3853-0642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</si>
  <si>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</si>
  <si>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</si>
  <si>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</si>
  <si>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</si>
  <si>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</si>
  <si>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</si>
  <si>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</si>
  <si>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</si>
  <si>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</si>
  <si>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</si>
  <si>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</si>
  <si>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2452746.4116 </t>
  </si>
  <si>
    <t> 16.04.2003 21:52 </t>
  </si>
  <si>
    <t> -0.1274 </t>
  </si>
  <si>
    <t>E </t>
  </si>
  <si>
    <t>-I</t>
  </si>
  <si>
    <t> F.Agerer </t>
  </si>
  <si>
    <t>BAVM 172 </t>
  </si>
  <si>
    <t>2453807.729 </t>
  </si>
  <si>
    <t> 13.03.2006 05:29 </t>
  </si>
  <si>
    <t>26811</t>
  </si>
  <si>
    <t> -0.139 </t>
  </si>
  <si>
    <t>C </t>
  </si>
  <si>
    <t>R</t>
  </si>
  <si>
    <t> R. Nelson </t>
  </si>
  <si>
    <t>IBVS 5760 </t>
  </si>
  <si>
    <t>2454902.1697 </t>
  </si>
  <si>
    <t> 11.03.2009 16:04 </t>
  </si>
  <si>
    <t>28446</t>
  </si>
  <si>
    <t> -0.1624 </t>
  </si>
  <si>
    <t>Rc</t>
  </si>
  <si>
    <t> K.Nakajima </t>
  </si>
  <si>
    <t>VSB 50 </t>
  </si>
  <si>
    <t>I</t>
  </si>
  <si>
    <t>JBAV, 63</t>
  </si>
  <si>
    <t>II</t>
  </si>
  <si>
    <t>JBAV, 60</t>
  </si>
  <si>
    <t>JBAV, 76</t>
  </si>
  <si>
    <t>Nelson pers com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</si>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</sst>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49">
    <xf numFmtId="0" fontId="0" fillId="0" borderId="0" xfId="0" applyAlignment="1"/>
    <xf numFmtId="0" fontId="0" fillId="0" borderId="0" xfId="0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UMa - O-C Diagr.</a:t>
            </a:r>
          </a:p>
        </c:rich>
      </c:tx>
      <c:layout>
        <c:manualLayout>
          <c:xMode val="edge"/>
          <c:yMode val="edge"/>
          <c:x val="0.373182891718502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8A-49AE-A2C7-6647D1D134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8A-49AE-A2C7-6647D1D134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8A-49AE-A2C7-6647D1D134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-0.12742350000189617</c:v>
                </c:pt>
                <c:pt idx="2">
                  <c:v>-0.1393632555482327</c:v>
                </c:pt>
                <c:pt idx="3">
                  <c:v>-0.16236200000275858</c:v>
                </c:pt>
                <c:pt idx="4">
                  <c:v>6.4769999997224659E-2</c:v>
                </c:pt>
                <c:pt idx="5">
                  <c:v>-0.14743250000174157</c:v>
                </c:pt>
                <c:pt idx="6">
                  <c:v>-0.10873700000956887</c:v>
                </c:pt>
                <c:pt idx="7">
                  <c:v>-0.10867849999340251</c:v>
                </c:pt>
                <c:pt idx="8">
                  <c:v>-0.13617700000031618</c:v>
                </c:pt>
                <c:pt idx="9">
                  <c:v>-0.1377725000056671</c:v>
                </c:pt>
                <c:pt idx="10">
                  <c:v>-0.14479850000498118</c:v>
                </c:pt>
                <c:pt idx="11">
                  <c:v>-0.14601399999810383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8A-49AE-A2C7-6647D1D134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8A-49AE-A2C7-6647D1D134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8A-49AE-A2C7-6647D1D134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8A-49AE-A2C7-6647D1D134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-0.24013389096552945</c:v>
                </c:pt>
                <c:pt idx="1">
                  <c:v>-0.1467014412752618</c:v>
                </c:pt>
                <c:pt idx="2">
                  <c:v>-0.14082892540901856</c:v>
                </c:pt>
                <c:pt idx="3">
                  <c:v>-0.13477306704174785</c:v>
                </c:pt>
                <c:pt idx="4">
                  <c:v>-0.10831248467123894</c:v>
                </c:pt>
                <c:pt idx="5">
                  <c:v>-0.11041444162746289</c:v>
                </c:pt>
                <c:pt idx="6">
                  <c:v>-0.11004960856986279</c:v>
                </c:pt>
                <c:pt idx="7">
                  <c:v>-0.1099773827361247</c:v>
                </c:pt>
                <c:pt idx="8">
                  <c:v>-0.1084939752278116</c:v>
                </c:pt>
                <c:pt idx="9">
                  <c:v>-0.10848841939444712</c:v>
                </c:pt>
                <c:pt idx="10">
                  <c:v>-0.10827359383768767</c:v>
                </c:pt>
                <c:pt idx="11">
                  <c:v>-0.1076754157787799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8A-49AE-A2C7-6647D1D13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8976"/>
        <c:axId val="1"/>
      </c:scatterChart>
      <c:valAx>
        <c:axId val="90596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8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4921861831491"/>
          <c:w val="0.7560588367487989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7E0677A-C357-A46A-523C-358FD8627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vsoljno50.pdf" TargetMode="External"/><Relationship Id="rId2" Type="http://schemas.openxmlformats.org/officeDocument/2006/relationships/hyperlink" Target="http://www.konkoly.hu/cgi-bin/IBVS?5760" TargetMode="External"/><Relationship Id="rId1" Type="http://schemas.openxmlformats.org/officeDocument/2006/relationships/hyperlink" Target="http://www.bav-astro.de/sfs/BAVM_link.php?BAVMnr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6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" customFormat="1" ht="20.25" x14ac:dyDescent="0.2">
      <c r="A1" s="45" t="s">
        <v>39</v>
      </c>
    </row>
    <row r="2" spans="1:6" s="2" customFormat="1" ht="12.95" customHeight="1" x14ac:dyDescent="0.2">
      <c r="A2" s="2" t="s">
        <v>24</v>
      </c>
      <c r="B2" s="2" t="s">
        <v>27</v>
      </c>
    </row>
    <row r="3" spans="1:6" s="2" customFormat="1" ht="12.95" customHeight="1" x14ac:dyDescent="0.2"/>
    <row r="4" spans="1:6" s="2" customFormat="1" ht="12.95" customHeight="1" thickTop="1" thickBot="1" x14ac:dyDescent="0.25">
      <c r="A4" s="20" t="s">
        <v>0</v>
      </c>
      <c r="C4" s="21">
        <v>35860.665000000001</v>
      </c>
      <c r="D4" s="22">
        <v>0.66939700000000002</v>
      </c>
    </row>
    <row r="5" spans="1:6" s="2" customFormat="1" ht="12.95" customHeight="1" thickTop="1" x14ac:dyDescent="0.2">
      <c r="A5" s="23" t="s">
        <v>30</v>
      </c>
      <c r="C5" s="24">
        <v>-9.5</v>
      </c>
      <c r="D5" s="2" t="s">
        <v>31</v>
      </c>
    </row>
    <row r="6" spans="1:6" s="2" customFormat="1" ht="12.95" customHeight="1" x14ac:dyDescent="0.2">
      <c r="A6" s="20" t="s">
        <v>1</v>
      </c>
    </row>
    <row r="7" spans="1:6" s="2" customFormat="1" ht="12.95" customHeight="1" x14ac:dyDescent="0.2">
      <c r="A7" s="2" t="s">
        <v>2</v>
      </c>
      <c r="C7" s="2">
        <f>+C4</f>
        <v>35860.665000000001</v>
      </c>
    </row>
    <row r="8" spans="1:6" s="2" customFormat="1" ht="12.95" customHeight="1" x14ac:dyDescent="0.2">
      <c r="A8" s="2" t="s">
        <v>3</v>
      </c>
      <c r="C8" s="2">
        <f>+D4</f>
        <v>0.66939700000000002</v>
      </c>
    </row>
    <row r="9" spans="1:6" s="2" customFormat="1" ht="12.95" customHeight="1" x14ac:dyDescent="0.2">
      <c r="A9" s="25" t="s">
        <v>37</v>
      </c>
      <c r="B9" s="26">
        <v>22</v>
      </c>
      <c r="C9" s="27" t="str">
        <f>"F"&amp;B9</f>
        <v>F22</v>
      </c>
      <c r="D9" s="28" t="str">
        <f>"G"&amp;B9</f>
        <v>G22</v>
      </c>
    </row>
    <row r="10" spans="1:6" s="2" customFormat="1" ht="12.95" customHeight="1" thickBot="1" x14ac:dyDescent="0.25">
      <c r="C10" s="29" t="s">
        <v>20</v>
      </c>
      <c r="D10" s="29" t="s">
        <v>21</v>
      </c>
    </row>
    <row r="11" spans="1:6" s="2" customFormat="1" ht="12.95" customHeight="1" x14ac:dyDescent="0.2">
      <c r="A11" s="2" t="s">
        <v>16</v>
      </c>
      <c r="C11" s="28">
        <f ca="1">INTERCEPT(INDIRECT($D$9):G991,INDIRECT($C$9):F991)</f>
        <v>-0.24013389096552945</v>
      </c>
      <c r="D11" s="30"/>
    </row>
    <row r="12" spans="1:6" s="2" customFormat="1" ht="12.95" customHeight="1" x14ac:dyDescent="0.2">
      <c r="A12" s="2" t="s">
        <v>17</v>
      </c>
      <c r="C12" s="28">
        <f ca="1">SLOPE(INDIRECT($D$9):G991,INDIRECT($C$9):F991)</f>
        <v>3.703888909645701E-6</v>
      </c>
      <c r="D12" s="30"/>
    </row>
    <row r="13" spans="1:6" s="2" customFormat="1" ht="12.95" customHeight="1" x14ac:dyDescent="0.2">
      <c r="A13" s="2" t="s">
        <v>19</v>
      </c>
      <c r="C13" s="30" t="s">
        <v>14</v>
      </c>
    </row>
    <row r="14" spans="1:6" s="2" customFormat="1" ht="12.95" customHeight="1" x14ac:dyDescent="0.2"/>
    <row r="15" spans="1:6" s="2" customFormat="1" ht="12.95" customHeight="1" x14ac:dyDescent="0.2">
      <c r="A15" s="31" t="s">
        <v>18</v>
      </c>
      <c r="C15" s="32">
        <f ca="1">(C7+C11)+(C8+C12)*INT(MAX(F21:F3532))</f>
        <v>59799.532838584229</v>
      </c>
      <c r="E15" s="33" t="s">
        <v>32</v>
      </c>
      <c r="F15" s="24">
        <v>1</v>
      </c>
    </row>
    <row r="16" spans="1:6" s="2" customFormat="1" ht="12.95" customHeight="1" x14ac:dyDescent="0.2">
      <c r="A16" s="20" t="s">
        <v>4</v>
      </c>
      <c r="C16" s="34">
        <f ca="1">+C8+C12</f>
        <v>0.66940070388890971</v>
      </c>
      <c r="E16" s="33" t="s">
        <v>33</v>
      </c>
      <c r="F16" s="35">
        <f ca="1">NOW()+15018.5+$C$5/24</f>
        <v>60378.681543518513</v>
      </c>
    </row>
    <row r="17" spans="1:23" s="2" customFormat="1" ht="12.95" customHeight="1" thickBot="1" x14ac:dyDescent="0.25">
      <c r="A17" s="33" t="s">
        <v>29</v>
      </c>
      <c r="C17" s="2">
        <f>COUNT(C21:C2190)</f>
        <v>12</v>
      </c>
      <c r="E17" s="33" t="s">
        <v>34</v>
      </c>
      <c r="F17" s="35">
        <f ca="1">ROUND(2*(F16-$C$7)/$C$8,0)/2+F15</f>
        <v>36628</v>
      </c>
    </row>
    <row r="18" spans="1:23" s="2" customFormat="1" ht="12.95" customHeight="1" thickTop="1" thickBot="1" x14ac:dyDescent="0.25">
      <c r="A18" s="20" t="s">
        <v>5</v>
      </c>
      <c r="C18" s="21">
        <f ca="1">+C15</f>
        <v>59799.532838584229</v>
      </c>
      <c r="D18" s="22">
        <f ca="1">+C16</f>
        <v>0.66940070388890971</v>
      </c>
      <c r="E18" s="33" t="s">
        <v>35</v>
      </c>
      <c r="F18" s="28">
        <f ca="1">ROUND(2*(F16-$C$15)/$C$16,0)/2+F15</f>
        <v>866</v>
      </c>
    </row>
    <row r="19" spans="1:23" s="2" customFormat="1" ht="12.95" customHeight="1" thickTop="1" x14ac:dyDescent="0.2">
      <c r="E19" s="33" t="s">
        <v>36</v>
      </c>
      <c r="F19" s="36">
        <f ca="1">+$C$15+$C$16*F18-15018.5-$C$5/24</f>
        <v>45361.129681485363</v>
      </c>
    </row>
    <row r="20" spans="1:23" s="2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13</v>
      </c>
      <c r="E20" s="29" t="s">
        <v>9</v>
      </c>
      <c r="F20" s="29" t="s">
        <v>10</v>
      </c>
      <c r="G20" s="29" t="s">
        <v>11</v>
      </c>
      <c r="H20" s="37" t="s">
        <v>12</v>
      </c>
      <c r="I20" s="37" t="s">
        <v>50</v>
      </c>
      <c r="J20" s="37" t="s">
        <v>44</v>
      </c>
      <c r="K20" s="37" t="s">
        <v>42</v>
      </c>
      <c r="L20" s="37" t="s">
        <v>79</v>
      </c>
      <c r="M20" s="37" t="s">
        <v>25</v>
      </c>
      <c r="N20" s="37" t="s">
        <v>26</v>
      </c>
      <c r="O20" s="37" t="s">
        <v>23</v>
      </c>
      <c r="P20" s="38" t="s">
        <v>22</v>
      </c>
      <c r="Q20" s="29" t="s">
        <v>15</v>
      </c>
    </row>
    <row r="21" spans="1:23" s="2" customFormat="1" ht="12.95" customHeight="1" x14ac:dyDescent="0.2">
      <c r="A21" s="2" t="s">
        <v>12</v>
      </c>
      <c r="C21" s="39">
        <f>+C4</f>
        <v>35860.665000000001</v>
      </c>
      <c r="D21" s="39" t="s">
        <v>14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-0.24013389096552945</v>
      </c>
      <c r="Q21" s="40">
        <f>+C21-15018.5</f>
        <v>20842.165000000001</v>
      </c>
    </row>
    <row r="22" spans="1:23" s="2" customFormat="1" ht="12.95" customHeight="1" x14ac:dyDescent="0.2">
      <c r="A22" s="2" t="s">
        <v>28</v>
      </c>
      <c r="B22" s="41"/>
      <c r="C22" s="39">
        <v>52746.411599999999</v>
      </c>
      <c r="D22" s="39">
        <v>2E-3</v>
      </c>
      <c r="E22" s="2">
        <f>+(C22-C$7)/C$8</f>
        <v>25225.309644351557</v>
      </c>
      <c r="F22" s="2">
        <f>ROUND(2*E22,0)/2</f>
        <v>25225.5</v>
      </c>
      <c r="G22" s="2">
        <f>+C22-(C$7+F22*C$8)</f>
        <v>-0.12742350000189617</v>
      </c>
      <c r="K22" s="2">
        <f>+G22</f>
        <v>-0.12742350000189617</v>
      </c>
      <c r="O22" s="2">
        <f ca="1">+C$11+C$12*$F22</f>
        <v>-0.1467014412752618</v>
      </c>
      <c r="Q22" s="40">
        <f>+C22-15018.5</f>
        <v>37727.911599999999</v>
      </c>
    </row>
    <row r="23" spans="1:23" s="2" customFormat="1" ht="12.95" customHeight="1" x14ac:dyDescent="0.2">
      <c r="A23" s="20" t="s">
        <v>38</v>
      </c>
      <c r="C23" s="39">
        <v>53807.72860374445</v>
      </c>
      <c r="D23" s="39">
        <v>1E-3</v>
      </c>
      <c r="E23" s="2">
        <f>+(C23-C$7)/C$8</f>
        <v>26810.791807767961</v>
      </c>
      <c r="F23" s="2">
        <f>ROUND(2*E23,0)/2</f>
        <v>26811</v>
      </c>
      <c r="G23" s="2">
        <f>+C23-(C$7+F23*C$8)</f>
        <v>-0.1393632555482327</v>
      </c>
      <c r="K23" s="2">
        <f>+G23</f>
        <v>-0.1393632555482327</v>
      </c>
      <c r="O23" s="2">
        <f ca="1">+C$11+C$12*$F23</f>
        <v>-0.14082892540901856</v>
      </c>
      <c r="Q23" s="40">
        <f>+C23-15018.5</f>
        <v>38789.22860374445</v>
      </c>
    </row>
    <row r="24" spans="1:23" s="2" customFormat="1" ht="12.95" customHeight="1" x14ac:dyDescent="0.2">
      <c r="A24" s="42" t="s">
        <v>72</v>
      </c>
      <c r="B24" s="43" t="s">
        <v>73</v>
      </c>
      <c r="C24" s="44">
        <v>54902.169699999999</v>
      </c>
      <c r="D24" s="39"/>
      <c r="E24" s="2">
        <f>+(C24-C$7)/C$8</f>
        <v>28445.757450362038</v>
      </c>
      <c r="F24" s="2">
        <f>ROUND(2*E24,0)/2</f>
        <v>28446</v>
      </c>
      <c r="G24" s="2">
        <f>+C24-(C$7+F24*C$8)</f>
        <v>-0.16236200000275858</v>
      </c>
      <c r="K24" s="2">
        <f>+G24</f>
        <v>-0.16236200000275858</v>
      </c>
      <c r="O24" s="2">
        <f ca="1">+C$11+C$12*$F24</f>
        <v>-0.13477306704174785</v>
      </c>
      <c r="Q24" s="40">
        <f>+C24-15018.5</f>
        <v>39883.669699999999</v>
      </c>
      <c r="W24" s="2" t="s">
        <v>78</v>
      </c>
    </row>
    <row r="25" spans="1:23" s="2" customFormat="1" ht="12.95" customHeight="1" x14ac:dyDescent="0.2">
      <c r="A25" s="18" t="s">
        <v>74</v>
      </c>
      <c r="B25" s="19" t="s">
        <v>75</v>
      </c>
      <c r="C25" s="46">
        <v>59684.569000000003</v>
      </c>
      <c r="D25" s="47">
        <v>7.0000000000000001E-3</v>
      </c>
      <c r="E25" s="2">
        <f t="shared" ref="E25:E30" si="0">+(C25-C$7)/C$8</f>
        <v>35590.096758724649</v>
      </c>
      <c r="F25" s="2">
        <f t="shared" ref="F25:F30" si="1">ROUND(2*E25,0)/2</f>
        <v>35590</v>
      </c>
      <c r="G25" s="2">
        <f t="shared" ref="G25:G30" si="2">+C25-(C$7+F25*C$8)</f>
        <v>6.4769999997224659E-2</v>
      </c>
      <c r="K25" s="2">
        <f>+G25</f>
        <v>6.4769999997224659E-2</v>
      </c>
      <c r="O25" s="2">
        <f t="shared" ref="O25:O30" ca="1" si="3">+C$11+C$12*$F25</f>
        <v>-0.10831248467123894</v>
      </c>
      <c r="Q25" s="40">
        <f t="shared" ref="Q25:Q30" si="4">+C25-15018.5</f>
        <v>44666.069000000003</v>
      </c>
    </row>
    <row r="26" spans="1:23" s="2" customFormat="1" ht="12.95" customHeight="1" x14ac:dyDescent="0.2">
      <c r="A26" s="18" t="s">
        <v>76</v>
      </c>
      <c r="B26" s="19" t="s">
        <v>75</v>
      </c>
      <c r="C26" s="46">
        <v>59304.474000000002</v>
      </c>
      <c r="D26" s="47">
        <v>1E-4</v>
      </c>
      <c r="E26" s="2">
        <f t="shared" si="0"/>
        <v>35022.279753270479</v>
      </c>
      <c r="F26" s="2">
        <f t="shared" si="1"/>
        <v>35022.5</v>
      </c>
      <c r="G26" s="2">
        <f t="shared" si="2"/>
        <v>-0.14743250000174157</v>
      </c>
      <c r="K26" s="2">
        <f>+G26</f>
        <v>-0.14743250000174157</v>
      </c>
      <c r="O26" s="2">
        <f t="shared" ca="1" si="3"/>
        <v>-0.11041444162746289</v>
      </c>
      <c r="Q26" s="40">
        <f t="shared" si="4"/>
        <v>44285.974000000002</v>
      </c>
    </row>
    <row r="27" spans="1:23" s="2" customFormat="1" ht="12.95" customHeight="1" x14ac:dyDescent="0.2">
      <c r="A27" s="18" t="s">
        <v>74</v>
      </c>
      <c r="B27" s="19" t="s">
        <v>75</v>
      </c>
      <c r="C27" s="46">
        <v>59370.448299999996</v>
      </c>
      <c r="D27" s="47">
        <v>2E-3</v>
      </c>
      <c r="E27" s="2">
        <f t="shared" si="0"/>
        <v>35120.837559773936</v>
      </c>
      <c r="F27" s="2">
        <f t="shared" si="1"/>
        <v>35121</v>
      </c>
      <c r="G27" s="2">
        <f t="shared" si="2"/>
        <v>-0.10873700000956887</v>
      </c>
      <c r="K27" s="2">
        <f>+G27</f>
        <v>-0.10873700000956887</v>
      </c>
      <c r="O27" s="2">
        <f t="shared" ca="1" si="3"/>
        <v>-0.11004960856986279</v>
      </c>
      <c r="Q27" s="40">
        <f t="shared" si="4"/>
        <v>44351.948299999996</v>
      </c>
    </row>
    <row r="28" spans="1:23" s="2" customFormat="1" ht="12.95" customHeight="1" x14ac:dyDescent="0.2">
      <c r="A28" s="18" t="s">
        <v>74</v>
      </c>
      <c r="B28" s="19" t="s">
        <v>75</v>
      </c>
      <c r="C28" s="46">
        <v>59383.501600000003</v>
      </c>
      <c r="D28" s="47">
        <v>2E-3</v>
      </c>
      <c r="E28" s="2">
        <f t="shared" si="0"/>
        <v>35140.337647166038</v>
      </c>
      <c r="F28" s="2">
        <f t="shared" si="1"/>
        <v>35140.5</v>
      </c>
      <c r="G28" s="2">
        <f t="shared" si="2"/>
        <v>-0.10867849999340251</v>
      </c>
      <c r="K28" s="2">
        <f>+G28</f>
        <v>-0.10867849999340251</v>
      </c>
      <c r="O28" s="2">
        <f t="shared" ca="1" si="3"/>
        <v>-0.1099773827361247</v>
      </c>
      <c r="Q28" s="40">
        <f t="shared" si="4"/>
        <v>44365.001600000003</v>
      </c>
    </row>
    <row r="29" spans="1:23" s="2" customFormat="1" ht="12.95" customHeight="1" x14ac:dyDescent="0.2">
      <c r="A29" s="18" t="s">
        <v>74</v>
      </c>
      <c r="B29" s="19" t="s">
        <v>75</v>
      </c>
      <c r="C29" s="46">
        <v>59651.567600000002</v>
      </c>
      <c r="D29" s="47">
        <v>2E-3</v>
      </c>
      <c r="E29" s="2">
        <f t="shared" si="0"/>
        <v>35540.796567657162</v>
      </c>
      <c r="F29" s="2">
        <f t="shared" si="1"/>
        <v>35541</v>
      </c>
      <c r="G29" s="2">
        <f t="shared" si="2"/>
        <v>-0.13617700000031618</v>
      </c>
      <c r="K29" s="2">
        <f>+G29</f>
        <v>-0.13617700000031618</v>
      </c>
      <c r="O29" s="2">
        <f t="shared" ca="1" si="3"/>
        <v>-0.1084939752278116</v>
      </c>
      <c r="Q29" s="40">
        <f t="shared" si="4"/>
        <v>44633.067600000002</v>
      </c>
    </row>
    <row r="30" spans="1:23" s="2" customFormat="1" ht="12.95" customHeight="1" x14ac:dyDescent="0.2">
      <c r="A30" s="18" t="s">
        <v>74</v>
      </c>
      <c r="B30" s="19" t="s">
        <v>75</v>
      </c>
      <c r="C30" s="46">
        <v>59652.570099999997</v>
      </c>
      <c r="D30" s="47">
        <v>2E-3</v>
      </c>
      <c r="E30" s="2">
        <f t="shared" si="0"/>
        <v>35542.294184168728</v>
      </c>
      <c r="F30" s="2">
        <f t="shared" si="1"/>
        <v>35542.5</v>
      </c>
      <c r="G30" s="2">
        <f t="shared" si="2"/>
        <v>-0.1377725000056671</v>
      </c>
      <c r="K30" s="2">
        <f>+G30</f>
        <v>-0.1377725000056671</v>
      </c>
      <c r="O30" s="2">
        <f t="shared" ca="1" si="3"/>
        <v>-0.10848841939444712</v>
      </c>
      <c r="Q30" s="40">
        <f t="shared" si="4"/>
        <v>44634.070099999997</v>
      </c>
    </row>
    <row r="31" spans="1:23" s="2" customFormat="1" ht="12.95" customHeight="1" x14ac:dyDescent="0.2">
      <c r="A31" s="18" t="s">
        <v>77</v>
      </c>
      <c r="B31" s="19" t="s">
        <v>75</v>
      </c>
      <c r="C31" s="48">
        <v>59691.388099999996</v>
      </c>
      <c r="D31" s="47">
        <v>1E-4</v>
      </c>
      <c r="E31" s="2">
        <f t="shared" ref="E31:E32" si="5">+(C31-C$7)/C$8</f>
        <v>35600.283688155156</v>
      </c>
      <c r="F31" s="2">
        <f t="shared" ref="F31:F32" si="6">ROUND(2*E31,0)/2</f>
        <v>35600.5</v>
      </c>
      <c r="G31" s="2">
        <f t="shared" ref="G31:G32" si="7">+C31-(C$7+F31*C$8)</f>
        <v>-0.14479850000498118</v>
      </c>
      <c r="K31" s="2">
        <f>+G31</f>
        <v>-0.14479850000498118</v>
      </c>
      <c r="O31" s="2">
        <f t="shared" ref="O31:O32" ca="1" si="8">+C$11+C$12*$F31</f>
        <v>-0.10827359383768767</v>
      </c>
      <c r="Q31" s="40">
        <f t="shared" ref="Q31:Q32" si="9">+C31-15018.5</f>
        <v>44672.888099999996</v>
      </c>
    </row>
    <row r="32" spans="1:23" s="2" customFormat="1" ht="12.95" customHeight="1" x14ac:dyDescent="0.2">
      <c r="A32" s="18" t="s">
        <v>77</v>
      </c>
      <c r="B32" s="19" t="s">
        <v>73</v>
      </c>
      <c r="C32" s="48">
        <v>59799.494500000001</v>
      </c>
      <c r="D32" s="47">
        <v>2.0000000000000001E-4</v>
      </c>
      <c r="E32" s="2">
        <f t="shared" si="5"/>
        <v>35761.781872341824</v>
      </c>
      <c r="F32" s="2">
        <f t="shared" si="6"/>
        <v>35762</v>
      </c>
      <c r="G32" s="2">
        <f t="shared" si="7"/>
        <v>-0.14601399999810383</v>
      </c>
      <c r="K32" s="2">
        <f>+G32</f>
        <v>-0.14601399999810383</v>
      </c>
      <c r="O32" s="2">
        <f t="shared" ca="1" si="8"/>
        <v>-0.1076754157787799</v>
      </c>
      <c r="Q32" s="40">
        <f t="shared" si="9"/>
        <v>44780.994500000001</v>
      </c>
    </row>
    <row r="33" spans="3:4" s="2" customFormat="1" ht="12.95" customHeight="1" x14ac:dyDescent="0.2">
      <c r="C33" s="39"/>
      <c r="D33" s="39"/>
    </row>
    <row r="34" spans="3:4" s="2" customFormat="1" ht="12.95" customHeight="1" x14ac:dyDescent="0.2">
      <c r="C34" s="39"/>
      <c r="D34" s="39"/>
    </row>
    <row r="35" spans="3:4" s="2" customFormat="1" ht="12.95" customHeight="1" x14ac:dyDescent="0.2">
      <c r="C35" s="39"/>
      <c r="D35" s="39"/>
    </row>
    <row r="36" spans="3:4" x14ac:dyDescent="0.2">
      <c r="C36" s="3"/>
      <c r="D36" s="3"/>
    </row>
    <row r="37" spans="3:4" x14ac:dyDescent="0.2">
      <c r="C37" s="3"/>
      <c r="D37" s="3"/>
    </row>
    <row r="38" spans="3:4" x14ac:dyDescent="0.2">
      <c r="C38" s="3"/>
      <c r="D38" s="3"/>
    </row>
    <row r="39" spans="3:4" x14ac:dyDescent="0.2">
      <c r="C39" s="3"/>
      <c r="D39" s="3"/>
    </row>
    <row r="40" spans="3:4" x14ac:dyDescent="0.2">
      <c r="C40" s="3"/>
      <c r="D40" s="3"/>
    </row>
    <row r="41" spans="3:4" x14ac:dyDescent="0.2">
      <c r="C41" s="3"/>
      <c r="D41" s="3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1"/>
  <sheetViews>
    <sheetView workbookViewId="0">
      <selection activeCell="A12" sqref="A12:C13"/>
    </sheetView>
  </sheetViews>
  <sheetFormatPr defaultRowHeight="12.75" x14ac:dyDescent="0.2"/>
  <cols>
    <col min="1" max="1" width="19.7109375" style="3" customWidth="1"/>
    <col min="2" max="2" width="4.42578125" style="1" customWidth="1"/>
    <col min="3" max="3" width="12.7109375" style="3" customWidth="1"/>
    <col min="4" max="4" width="5.42578125" style="1" customWidth="1"/>
    <col min="5" max="5" width="14.85546875" style="1" customWidth="1"/>
    <col min="6" max="6" width="9.140625" style="1"/>
    <col min="7" max="7" width="12" style="1" customWidth="1"/>
    <col min="8" max="8" width="14.140625" style="3" customWidth="1"/>
    <col min="9" max="9" width="22.5703125" style="1" customWidth="1"/>
    <col min="10" max="10" width="25.140625" style="1" customWidth="1"/>
    <col min="11" max="11" width="15.7109375" style="1" customWidth="1"/>
    <col min="12" max="12" width="14.140625" style="1" customWidth="1"/>
    <col min="13" max="13" width="9.5703125" style="1" customWidth="1"/>
    <col min="14" max="14" width="14.140625" style="1" customWidth="1"/>
    <col min="15" max="15" width="23.42578125" style="1" customWidth="1"/>
    <col min="16" max="16" width="16.5703125" style="1" customWidth="1"/>
    <col min="17" max="17" width="41" style="1" customWidth="1"/>
    <col min="18" max="16384" width="9.140625" style="1"/>
  </cols>
  <sheetData>
    <row r="1" spans="1:16" ht="15.75" x14ac:dyDescent="0.25">
      <c r="A1" s="5" t="s">
        <v>40</v>
      </c>
      <c r="I1" s="6" t="s">
        <v>41</v>
      </c>
      <c r="J1" s="7" t="s">
        <v>42</v>
      </c>
    </row>
    <row r="2" spans="1:16" x14ac:dyDescent="0.2">
      <c r="I2" s="8" t="s">
        <v>43</v>
      </c>
      <c r="J2" s="9" t="s">
        <v>44</v>
      </c>
    </row>
    <row r="3" spans="1:16" x14ac:dyDescent="0.2">
      <c r="A3" s="10" t="s">
        <v>45</v>
      </c>
      <c r="I3" s="8" t="s">
        <v>46</v>
      </c>
      <c r="J3" s="9" t="s">
        <v>47</v>
      </c>
    </row>
    <row r="4" spans="1:16" x14ac:dyDescent="0.2">
      <c r="I4" s="8" t="s">
        <v>48</v>
      </c>
      <c r="J4" s="9" t="s">
        <v>47</v>
      </c>
    </row>
    <row r="5" spans="1:16" ht="13.5" thickBot="1" x14ac:dyDescent="0.25">
      <c r="I5" s="11" t="s">
        <v>49</v>
      </c>
      <c r="J5" s="12" t="s">
        <v>50</v>
      </c>
    </row>
    <row r="10" spans="1:16" ht="13.5" thickBot="1" x14ac:dyDescent="0.25"/>
    <row r="11" spans="1:16" ht="12.75" customHeight="1" thickBot="1" x14ac:dyDescent="0.25">
      <c r="A11" s="3" t="str">
        <f>P11</f>
        <v>BAVM 172 </v>
      </c>
      <c r="B11" s="4" t="str">
        <f>IF(H11=INT(H11),"I","II")</f>
        <v>II</v>
      </c>
      <c r="C11" s="3">
        <f>1*G11</f>
        <v>52746.411599999999</v>
      </c>
      <c r="D11" s="1" t="str">
        <f>VLOOKUP(F11,I$1:J$5,2,FALSE)</f>
        <v>vis</v>
      </c>
      <c r="E11" s="13">
        <f>VLOOKUP(C11,Active!C$21:E$972,3,FALSE)</f>
        <v>25225.309644351557</v>
      </c>
      <c r="F11" s="4" t="s">
        <v>49</v>
      </c>
      <c r="G11" s="1" t="str">
        <f>MID(I11,3,LEN(I11)-3)</f>
        <v>52746.4116</v>
      </c>
      <c r="H11" s="3">
        <f>1*K11</f>
        <v>25225.5</v>
      </c>
      <c r="I11" s="14" t="s">
        <v>51</v>
      </c>
      <c r="J11" s="15" t="s">
        <v>52</v>
      </c>
      <c r="K11" s="14">
        <v>25225.5</v>
      </c>
      <c r="L11" s="14" t="s">
        <v>53</v>
      </c>
      <c r="M11" s="15" t="s">
        <v>54</v>
      </c>
      <c r="N11" s="15" t="s">
        <v>55</v>
      </c>
      <c r="O11" s="16" t="s">
        <v>56</v>
      </c>
      <c r="P11" s="17" t="s">
        <v>57</v>
      </c>
    </row>
    <row r="12" spans="1:16" ht="12.75" customHeight="1" thickBot="1" x14ac:dyDescent="0.25">
      <c r="A12" s="3" t="str">
        <f>P12</f>
        <v>IBVS 5760 </v>
      </c>
      <c r="B12" s="4" t="str">
        <f>IF(H12=INT(H12),"I","II")</f>
        <v>I</v>
      </c>
      <c r="C12" s="3">
        <f>1*G12</f>
        <v>53807.728999999999</v>
      </c>
      <c r="D12" s="1" t="str">
        <f>VLOOKUP(F12,I$1:J$5,2,FALSE)</f>
        <v>vis</v>
      </c>
      <c r="E12" s="13" t="e">
        <f>VLOOKUP(C12,Active!C$21:E$972,3,FALSE)</f>
        <v>#N/A</v>
      </c>
      <c r="F12" s="4" t="s">
        <v>49</v>
      </c>
      <c r="G12" s="1" t="str">
        <f>MID(I12,3,LEN(I12)-3)</f>
        <v>53807.729</v>
      </c>
      <c r="H12" s="3">
        <f>1*K12</f>
        <v>26811</v>
      </c>
      <c r="I12" s="14" t="s">
        <v>58</v>
      </c>
      <c r="J12" s="15" t="s">
        <v>59</v>
      </c>
      <c r="K12" s="14" t="s">
        <v>60</v>
      </c>
      <c r="L12" s="14" t="s">
        <v>61</v>
      </c>
      <c r="M12" s="15" t="s">
        <v>62</v>
      </c>
      <c r="N12" s="15" t="s">
        <v>63</v>
      </c>
      <c r="O12" s="16" t="s">
        <v>64</v>
      </c>
      <c r="P12" s="17" t="s">
        <v>65</v>
      </c>
    </row>
    <row r="13" spans="1:16" ht="12.75" customHeight="1" thickBot="1" x14ac:dyDescent="0.25">
      <c r="A13" s="3" t="str">
        <f>P13</f>
        <v>VSB 50 </v>
      </c>
      <c r="B13" s="4" t="str">
        <f>IF(H13=INT(H13),"I","II")</f>
        <v>I</v>
      </c>
      <c r="C13" s="3">
        <f>1*G13</f>
        <v>54902.169699999999</v>
      </c>
      <c r="D13" s="1" t="str">
        <f>VLOOKUP(F13,I$1:J$5,2,FALSE)</f>
        <v>vis</v>
      </c>
      <c r="E13" s="13">
        <f>VLOOKUP(C13,Active!C$21:E$972,3,FALSE)</f>
        <v>28445.757450362038</v>
      </c>
      <c r="F13" s="4" t="s">
        <v>49</v>
      </c>
      <c r="G13" s="1" t="str">
        <f>MID(I13,3,LEN(I13)-3)</f>
        <v>54902.1697</v>
      </c>
      <c r="H13" s="3">
        <f>1*K13</f>
        <v>28446</v>
      </c>
      <c r="I13" s="14" t="s">
        <v>66</v>
      </c>
      <c r="J13" s="15" t="s">
        <v>67</v>
      </c>
      <c r="K13" s="14" t="s">
        <v>68</v>
      </c>
      <c r="L13" s="14" t="s">
        <v>69</v>
      </c>
      <c r="M13" s="15" t="s">
        <v>62</v>
      </c>
      <c r="N13" s="15" t="s">
        <v>70</v>
      </c>
      <c r="O13" s="16" t="s">
        <v>71</v>
      </c>
      <c r="P13" s="17" t="s">
        <v>72</v>
      </c>
    </row>
    <row r="14" spans="1:16" x14ac:dyDescent="0.2">
      <c r="B14" s="4"/>
      <c r="F14" s="4"/>
    </row>
    <row r="15" spans="1:16" x14ac:dyDescent="0.2">
      <c r="B15" s="4"/>
      <c r="F15" s="4"/>
    </row>
    <row r="16" spans="1:16" x14ac:dyDescent="0.2">
      <c r="B16" s="4"/>
      <c r="F16" s="4"/>
    </row>
    <row r="17" spans="2:6" x14ac:dyDescent="0.2">
      <c r="B17" s="4"/>
      <c r="F17" s="4"/>
    </row>
    <row r="18" spans="2:6" x14ac:dyDescent="0.2">
      <c r="B18" s="4"/>
      <c r="F18" s="4"/>
    </row>
    <row r="19" spans="2:6" x14ac:dyDescent="0.2">
      <c r="B19" s="4"/>
      <c r="F19" s="4"/>
    </row>
    <row r="20" spans="2:6" x14ac:dyDescent="0.2">
      <c r="B20" s="4"/>
      <c r="F20" s="4"/>
    </row>
    <row r="21" spans="2:6" x14ac:dyDescent="0.2">
      <c r="B21" s="4"/>
      <c r="F21" s="4"/>
    </row>
    <row r="22" spans="2:6" x14ac:dyDescent="0.2">
      <c r="B22" s="4"/>
      <c r="F22" s="4"/>
    </row>
    <row r="23" spans="2:6" x14ac:dyDescent="0.2">
      <c r="B23" s="4"/>
      <c r="F23" s="4"/>
    </row>
    <row r="24" spans="2:6" x14ac:dyDescent="0.2">
      <c r="B24" s="4"/>
      <c r="F24" s="4"/>
    </row>
    <row r="25" spans="2:6" x14ac:dyDescent="0.2">
      <c r="B25" s="4"/>
      <c r="F25" s="4"/>
    </row>
    <row r="26" spans="2:6" x14ac:dyDescent="0.2">
      <c r="B26" s="4"/>
      <c r="F26" s="4"/>
    </row>
    <row r="27" spans="2:6" x14ac:dyDescent="0.2">
      <c r="B27" s="4"/>
      <c r="F27" s="4"/>
    </row>
    <row r="28" spans="2:6" x14ac:dyDescent="0.2">
      <c r="B28" s="4"/>
      <c r="F28" s="4"/>
    </row>
    <row r="29" spans="2:6" x14ac:dyDescent="0.2">
      <c r="B29" s="4"/>
      <c r="F29" s="4"/>
    </row>
    <row r="30" spans="2:6" x14ac:dyDescent="0.2">
      <c r="B30" s="4"/>
      <c r="F30" s="4"/>
    </row>
    <row r="31" spans="2:6" x14ac:dyDescent="0.2">
      <c r="B31" s="4"/>
      <c r="F31" s="4"/>
    </row>
    <row r="32" spans="2: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</sheetData>
  <phoneticPr fontId="8" type="noConversion"/>
  <hyperlinks>
    <hyperlink ref="P11" r:id="rId1" display="http://www.bav-astro.de/sfs/BAVM_link.php?BAVMnr=172" xr:uid="{00000000-0004-0000-0100-000000000000}"/>
    <hyperlink ref="P12" r:id="rId2" display="http://www.konkoly.hu/cgi-bin/IBVS?5760" xr:uid="{00000000-0004-0000-0100-000001000000}"/>
    <hyperlink ref="P13" r:id="rId3" display="http://vsolj.cetus-net.org/vsoljno50.pdf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2024-03-09T03:21:25Z</dcterms:modified>
</cp:coreProperties>
</file>