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E69167C-DB56-46E1-BD9D-9516712A720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9" i="2" l="1"/>
  <c r="C19" i="2"/>
  <c r="E19" i="2"/>
  <c r="G18" i="2"/>
  <c r="C18" i="2"/>
  <c r="G17" i="2"/>
  <c r="C17" i="2"/>
  <c r="G16" i="2"/>
  <c r="C16" i="2"/>
  <c r="G15" i="2"/>
  <c r="C15" i="2"/>
  <c r="G14" i="2"/>
  <c r="C14" i="2"/>
  <c r="G24" i="2"/>
  <c r="C24" i="2"/>
  <c r="E24" i="2"/>
  <c r="G23" i="2"/>
  <c r="C23" i="2"/>
  <c r="E23" i="2"/>
  <c r="G22" i="2"/>
  <c r="C22" i="2"/>
  <c r="E22" i="2"/>
  <c r="G21" i="2"/>
  <c r="C21" i="2"/>
  <c r="E21" i="2"/>
  <c r="G13" i="2"/>
  <c r="C13" i="2"/>
  <c r="G20" i="2"/>
  <c r="C20" i="2"/>
  <c r="E20" i="2"/>
  <c r="G12" i="2"/>
  <c r="C12" i="2"/>
  <c r="E12" i="2"/>
  <c r="G11" i="2"/>
  <c r="C11" i="2"/>
  <c r="E11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3" i="2"/>
  <c r="D13" i="2"/>
  <c r="B13" i="2"/>
  <c r="A13" i="2"/>
  <c r="H20" i="2"/>
  <c r="B20" i="2"/>
  <c r="D20" i="2"/>
  <c r="A20" i="2"/>
  <c r="H12" i="2"/>
  <c r="D12" i="2"/>
  <c r="B12" i="2"/>
  <c r="A12" i="2"/>
  <c r="H11" i="2"/>
  <c r="B11" i="2"/>
  <c r="D11" i="2"/>
  <c r="A11" i="2"/>
  <c r="E37" i="1"/>
  <c r="F37" i="1"/>
  <c r="G37" i="1"/>
  <c r="K37" i="1"/>
  <c r="F11" i="1"/>
  <c r="Q36" i="1"/>
  <c r="Q37" i="1"/>
  <c r="Q34" i="1"/>
  <c r="Q35" i="1"/>
  <c r="F22" i="1"/>
  <c r="G22" i="1"/>
  <c r="I22" i="1"/>
  <c r="E24" i="1"/>
  <c r="F24" i="1"/>
  <c r="E25" i="1"/>
  <c r="F25" i="1"/>
  <c r="G25" i="1"/>
  <c r="K25" i="1"/>
  <c r="E29" i="1"/>
  <c r="F29" i="1"/>
  <c r="Q27" i="1"/>
  <c r="Q32" i="1"/>
  <c r="Q33" i="1"/>
  <c r="Q28" i="1"/>
  <c r="Q29" i="1"/>
  <c r="Q30" i="1"/>
  <c r="Q31" i="1"/>
  <c r="G11" i="1"/>
  <c r="E14" i="1"/>
  <c r="E15" i="1" s="1"/>
  <c r="C17" i="1"/>
  <c r="Q26" i="1"/>
  <c r="Q25" i="1"/>
  <c r="E22" i="1"/>
  <c r="Q22" i="1"/>
  <c r="Q23" i="1"/>
  <c r="Q24" i="1"/>
  <c r="C8" i="1"/>
  <c r="E33" i="1"/>
  <c r="F33" i="1"/>
  <c r="G33" i="1"/>
  <c r="K33" i="1"/>
  <c r="C7" i="1"/>
  <c r="E34" i="1"/>
  <c r="F34" i="1"/>
  <c r="G34" i="1"/>
  <c r="K34" i="1"/>
  <c r="Q21" i="1"/>
  <c r="E15" i="2"/>
  <c r="E16" i="2"/>
  <c r="E17" i="2"/>
  <c r="E18" i="2"/>
  <c r="E31" i="1"/>
  <c r="F31" i="1"/>
  <c r="G31" i="1"/>
  <c r="K31" i="1"/>
  <c r="G24" i="1"/>
  <c r="K24" i="1"/>
  <c r="E27" i="1"/>
  <c r="F27" i="1"/>
  <c r="G27" i="1"/>
  <c r="K27" i="1"/>
  <c r="E35" i="1"/>
  <c r="F35" i="1"/>
  <c r="G35" i="1"/>
  <c r="K35" i="1"/>
  <c r="E28" i="1"/>
  <c r="F28" i="1"/>
  <c r="G28" i="1"/>
  <c r="K28" i="1"/>
  <c r="G36" i="1"/>
  <c r="K36" i="1"/>
  <c r="E21" i="1"/>
  <c r="F21" i="1"/>
  <c r="G21" i="1"/>
  <c r="H21" i="1"/>
  <c r="E30" i="1"/>
  <c r="F30" i="1"/>
  <c r="G30" i="1"/>
  <c r="K30" i="1"/>
  <c r="G23" i="1"/>
  <c r="E36" i="1"/>
  <c r="F36" i="1"/>
  <c r="E23" i="1"/>
  <c r="F23" i="1"/>
  <c r="G29" i="1"/>
  <c r="K29" i="1"/>
  <c r="E26" i="1"/>
  <c r="F26" i="1"/>
  <c r="G26" i="1"/>
  <c r="K26" i="1"/>
  <c r="E32" i="1"/>
  <c r="F32" i="1"/>
  <c r="G32" i="1"/>
  <c r="K32" i="1"/>
  <c r="I23" i="1"/>
  <c r="E13" i="2"/>
  <c r="E14" i="2"/>
  <c r="C12" i="1"/>
  <c r="C11" i="1"/>
  <c r="O37" i="1" l="1"/>
  <c r="O30" i="1"/>
  <c r="O36" i="1"/>
  <c r="O28" i="1"/>
  <c r="O34" i="1"/>
  <c r="O21" i="1"/>
  <c r="O35" i="1"/>
  <c r="O24" i="1"/>
  <c r="O27" i="1"/>
  <c r="O26" i="1"/>
  <c r="O22" i="1"/>
  <c r="O32" i="1"/>
  <c r="O23" i="1"/>
  <c r="O33" i="1"/>
  <c r="O25" i="1"/>
  <c r="O31" i="1"/>
  <c r="C15" i="1"/>
  <c r="E16" i="1" s="1"/>
  <c r="O29" i="1"/>
  <c r="C16" i="1"/>
  <c r="D18" i="1" s="1"/>
  <c r="E17" i="1" l="1"/>
  <c r="C18" i="1"/>
</calcChain>
</file>

<file path=xl/sharedStrings.xml><?xml version="1.0" encoding="utf-8"?>
<sst xmlns="http://schemas.openxmlformats.org/spreadsheetml/2006/main" count="206" uniqueCount="131">
  <si>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</si>
  <si>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</si>
  <si>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</si>
  <si>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</si>
  <si>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</si>
  <si>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</si>
  <si>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</si>
  <si>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</si>
  <si>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</si>
  <si>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</si>
  <si>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</si>
  <si>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</si>
  <si>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</si>
  <si>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</si>
  <si>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</si>
  <si>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</si>
  <si>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</si>
  <si>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</si>
  <si>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</si>
  <si>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</si>
  <si>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</si>
  <si>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</si>
  <si>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</si>
  <si>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</si>
  <si>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</si>
  <si>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</si>
  <si>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</si>
  <si>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</si>
  <si>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EA/SD</t>
  </si>
  <si>
    <t>I</t>
  </si>
  <si>
    <t>ROTSE</t>
  </si>
  <si>
    <t>II</t>
  </si>
  <si>
    <t>IBVS 5592</t>
  </si>
  <si>
    <t>IBVS 5657</t>
  </si>
  <si>
    <t>BQ UMa / GSC 03015-00510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</si>
  <si>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</si>
  <si>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</si>
  <si>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</si>
  <si>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</si>
  <si>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</si>
  <si>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</si>
  <si>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</si>
  <si>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</si>
  <si>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OEJV 0107</t>
  </si>
  <si>
    <t>Add cycle</t>
  </si>
  <si>
    <t>Old Cycle</t>
  </si>
  <si>
    <t>OEJV 0137</t>
  </si>
  <si>
    <t>IBVS 5918</t>
  </si>
  <si>
    <t>IBVS 5992</t>
  </si>
  <si>
    <t>IBVS 6010</t>
  </si>
  <si>
    <t>IBVS 6029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</si>
  <si>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</si>
  <si>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</si>
  <si>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</si>
  <si>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</si>
  <si>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</si>
  <si>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</si>
  <si>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</si>
  <si>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</si>
  <si>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</si>
  <si>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</si>
  <si>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</si>
  <si>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</si>
  <si>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2453168.2524 </t>
  </si>
  <si>
    <t> 11.06.2004 18:03 </t>
  </si>
  <si>
    <t> -0.0845 </t>
  </si>
  <si>
    <t>E </t>
  </si>
  <si>
    <t>?</t>
  </si>
  <si>
    <t> T.Krajci </t>
  </si>
  <si>
    <t>IBVS 5592 </t>
  </si>
  <si>
    <t>2453451.4897 </t>
  </si>
  <si>
    <t> 21.03.2005 23:45 </t>
  </si>
  <si>
    <t> -0.0759 </t>
  </si>
  <si>
    <t>-I</t>
  </si>
  <si>
    <t> F.Agerer </t>
  </si>
  <si>
    <t>BAVM 173 </t>
  </si>
  <si>
    <t>2454513.5670 </t>
  </si>
  <si>
    <t> 17.02.2008 01:36 </t>
  </si>
  <si>
    <t>7125</t>
  </si>
  <si>
    <t> -0.1064 </t>
  </si>
  <si>
    <t>C </t>
  </si>
  <si>
    <t>R</t>
  </si>
  <si>
    <t> M.Lehky </t>
  </si>
  <si>
    <t>OEJV 0107 </t>
  </si>
  <si>
    <t>2454931.4364 </t>
  </si>
  <si>
    <t> 09.04.2009 22:28 </t>
  </si>
  <si>
    <t>7305</t>
  </si>
  <si>
    <t> -0.1154 </t>
  </si>
  <si>
    <t>BAVM 209 </t>
  </si>
  <si>
    <t>2455256.4428 </t>
  </si>
  <si>
    <t> 28.02.2010 22:37 </t>
  </si>
  <si>
    <t>7445</t>
  </si>
  <si>
    <t> -0.1256 </t>
  </si>
  <si>
    <t> J.Trnka </t>
  </si>
  <si>
    <t>OEJV 0137 </t>
  </si>
  <si>
    <t>2455625.5618 </t>
  </si>
  <si>
    <t> 05.03.2011 01:28 </t>
  </si>
  <si>
    <t>7604</t>
  </si>
  <si>
    <t> -0.1326 </t>
  </si>
  <si>
    <t>2455625.5620 </t>
  </si>
  <si>
    <t> 05.03.2011 01:29 </t>
  </si>
  <si>
    <t> -0.1324 </t>
  </si>
  <si>
    <t>2455625.5625 </t>
  </si>
  <si>
    <t> 05.03.2011 01:30 </t>
  </si>
  <si>
    <t> -0.1319 </t>
  </si>
  <si>
    <t>2455634.8513 </t>
  </si>
  <si>
    <t> 14.03.2011 08:25 </t>
  </si>
  <si>
    <t>7608</t>
  </si>
  <si>
    <t> -0.1293 </t>
  </si>
  <si>
    <t> R.Diethelm </t>
  </si>
  <si>
    <t>IBVS 5992 </t>
  </si>
  <si>
    <t>2455660.3853 </t>
  </si>
  <si>
    <t> 08.04.2011 21:14 </t>
  </si>
  <si>
    <t>7619</t>
  </si>
  <si>
    <t> -0.1323 </t>
  </si>
  <si>
    <t>BAVM 220 </t>
  </si>
  <si>
    <t>2455952.8966 </t>
  </si>
  <si>
    <t> 26.01.2012 09:31 </t>
  </si>
  <si>
    <t> -0.1359 </t>
  </si>
  <si>
    <t>IBVS 6029 </t>
  </si>
  <si>
    <t>2456045.758 </t>
  </si>
  <si>
    <t> 28.04.2012 06:11 </t>
  </si>
  <si>
    <t> -0.136 </t>
  </si>
  <si>
    <t>2456730.6064 </t>
  </si>
  <si>
    <t> 14.03.2014 02:33 </t>
  </si>
  <si>
    <t> -0.1444 </t>
  </si>
  <si>
    <t>BAVM 238 </t>
  </si>
  <si>
    <t>2456737.5713 </t>
  </si>
  <si>
    <t> 21.03.2014 01:42 </t>
  </si>
  <si>
    <t> -0.1441 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</si>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</sst>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2" fontId="6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UMa - O-C Diagr.</a:t>
            </a:r>
          </a:p>
        </c:rich>
      </c:tx>
      <c:layout>
        <c:manualLayout>
          <c:xMode val="edge"/>
          <c:yMode val="edge"/>
          <c:x val="0.3731828917185028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142171204635756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5735.5</c:v>
                </c:pt>
                <c:pt idx="2">
                  <c:v>5736</c:v>
                </c:pt>
                <c:pt idx="3">
                  <c:v>6545.5</c:v>
                </c:pt>
                <c:pt idx="4">
                  <c:v>6667.5</c:v>
                </c:pt>
                <c:pt idx="5">
                  <c:v>7125</c:v>
                </c:pt>
                <c:pt idx="6">
                  <c:v>7305</c:v>
                </c:pt>
                <c:pt idx="7">
                  <c:v>7445</c:v>
                </c:pt>
                <c:pt idx="8">
                  <c:v>7604</c:v>
                </c:pt>
                <c:pt idx="9">
                  <c:v>7604</c:v>
                </c:pt>
                <c:pt idx="10">
                  <c:v>7604</c:v>
                </c:pt>
                <c:pt idx="11">
                  <c:v>7608</c:v>
                </c:pt>
                <c:pt idx="12">
                  <c:v>7619</c:v>
                </c:pt>
                <c:pt idx="13">
                  <c:v>7745</c:v>
                </c:pt>
                <c:pt idx="14">
                  <c:v>7785</c:v>
                </c:pt>
                <c:pt idx="15">
                  <c:v>8080</c:v>
                </c:pt>
                <c:pt idx="16">
                  <c:v>8083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1-40AB-BABA-85784183C3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2">
                    <c:v>1E-3</c:v>
                  </c:pt>
                  <c:pt idx="3">
                    <c:v>2.0999999999999999E-3</c:v>
                  </c:pt>
                  <c:pt idx="4">
                    <c:v>1E-4</c:v>
                  </c:pt>
                  <c:pt idx="5">
                    <c:v>6.9999999999999999E-4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1.1999999999999999E-3</c:v>
                  </c:pt>
                  <c:pt idx="11">
                    <c:v>3.5000000000000001E-3</c:v>
                  </c:pt>
                  <c:pt idx="12">
                    <c:v>1E-4</c:v>
                  </c:pt>
                  <c:pt idx="13">
                    <c:v>8.0000000000000002E-3</c:v>
                  </c:pt>
                  <c:pt idx="14">
                    <c:v>3.5000000000000001E-3</c:v>
                  </c:pt>
                  <c:pt idx="15">
                    <c:v>4.0000000000000001E-3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5735.5</c:v>
                </c:pt>
                <c:pt idx="2">
                  <c:v>5736</c:v>
                </c:pt>
                <c:pt idx="3">
                  <c:v>6545.5</c:v>
                </c:pt>
                <c:pt idx="4">
                  <c:v>6667.5</c:v>
                </c:pt>
                <c:pt idx="5">
                  <c:v>7125</c:v>
                </c:pt>
                <c:pt idx="6">
                  <c:v>7305</c:v>
                </c:pt>
                <c:pt idx="7">
                  <c:v>7445</c:v>
                </c:pt>
                <c:pt idx="8">
                  <c:v>7604</c:v>
                </c:pt>
                <c:pt idx="9">
                  <c:v>7604</c:v>
                </c:pt>
                <c:pt idx="10">
                  <c:v>7604</c:v>
                </c:pt>
                <c:pt idx="11">
                  <c:v>7608</c:v>
                </c:pt>
                <c:pt idx="12">
                  <c:v>7619</c:v>
                </c:pt>
                <c:pt idx="13">
                  <c:v>7745</c:v>
                </c:pt>
                <c:pt idx="14">
                  <c:v>7785</c:v>
                </c:pt>
                <c:pt idx="15">
                  <c:v>8080</c:v>
                </c:pt>
                <c:pt idx="16">
                  <c:v>8083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-7.7318499999819323E-2</c:v>
                </c:pt>
                <c:pt idx="2">
                  <c:v>-7.1491999995487276E-2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E1-40AB-BABA-85784183C3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3">
                    <c:v>1E-3</c:v>
                  </c:pt>
                  <c:pt idx="4">
                    <c:v>2.0999999999999999E-3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1.1999999999999999E-3</c:v>
                  </c:pt>
                  <c:pt idx="12">
                    <c:v>3.5000000000000001E-3</c:v>
                  </c:pt>
                  <c:pt idx="13">
                    <c:v>1E-4</c:v>
                  </c:pt>
                  <c:pt idx="14">
                    <c:v>8.0000000000000002E-3</c:v>
                  </c:pt>
                  <c:pt idx="15">
                    <c:v>3.5000000000000001E-3</c:v>
                  </c:pt>
                  <c:pt idx="16">
                    <c:v>4.0000000000000001E-3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3">
                    <c:v>1E-3</c:v>
                  </c:pt>
                  <c:pt idx="4">
                    <c:v>2.0999999999999999E-3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1.1999999999999999E-3</c:v>
                  </c:pt>
                  <c:pt idx="12">
                    <c:v>3.5000000000000001E-3</c:v>
                  </c:pt>
                  <c:pt idx="13">
                    <c:v>1E-4</c:v>
                  </c:pt>
                  <c:pt idx="14">
                    <c:v>8.0000000000000002E-3</c:v>
                  </c:pt>
                  <c:pt idx="15">
                    <c:v>3.5000000000000001E-3</c:v>
                  </c:pt>
                  <c:pt idx="1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5735.5</c:v>
                </c:pt>
                <c:pt idx="2">
                  <c:v>5736</c:v>
                </c:pt>
                <c:pt idx="3">
                  <c:v>6545.5</c:v>
                </c:pt>
                <c:pt idx="4">
                  <c:v>6667.5</c:v>
                </c:pt>
                <c:pt idx="5">
                  <c:v>7125</c:v>
                </c:pt>
                <c:pt idx="6">
                  <c:v>7305</c:v>
                </c:pt>
                <c:pt idx="7">
                  <c:v>7445</c:v>
                </c:pt>
                <c:pt idx="8">
                  <c:v>7604</c:v>
                </c:pt>
                <c:pt idx="9">
                  <c:v>7604</c:v>
                </c:pt>
                <c:pt idx="10">
                  <c:v>7604</c:v>
                </c:pt>
                <c:pt idx="11">
                  <c:v>7608</c:v>
                </c:pt>
                <c:pt idx="12">
                  <c:v>7619</c:v>
                </c:pt>
                <c:pt idx="13">
                  <c:v>7745</c:v>
                </c:pt>
                <c:pt idx="14">
                  <c:v>7785</c:v>
                </c:pt>
                <c:pt idx="15">
                  <c:v>8080</c:v>
                </c:pt>
                <c:pt idx="16">
                  <c:v>8083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E1-40AB-BABA-85784183C3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5735.5</c:v>
                </c:pt>
                <c:pt idx="2">
                  <c:v>5736</c:v>
                </c:pt>
                <c:pt idx="3">
                  <c:v>6545.5</c:v>
                </c:pt>
                <c:pt idx="4">
                  <c:v>6667.5</c:v>
                </c:pt>
                <c:pt idx="5">
                  <c:v>7125</c:v>
                </c:pt>
                <c:pt idx="6">
                  <c:v>7305</c:v>
                </c:pt>
                <c:pt idx="7">
                  <c:v>7445</c:v>
                </c:pt>
                <c:pt idx="8">
                  <c:v>7604</c:v>
                </c:pt>
                <c:pt idx="9">
                  <c:v>7604</c:v>
                </c:pt>
                <c:pt idx="10">
                  <c:v>7604</c:v>
                </c:pt>
                <c:pt idx="11">
                  <c:v>7608</c:v>
                </c:pt>
                <c:pt idx="12">
                  <c:v>7619</c:v>
                </c:pt>
                <c:pt idx="13">
                  <c:v>7745</c:v>
                </c:pt>
                <c:pt idx="14">
                  <c:v>7785</c:v>
                </c:pt>
                <c:pt idx="15">
                  <c:v>8080</c:v>
                </c:pt>
                <c:pt idx="16">
                  <c:v>8083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-8.448849999695085E-2</c:v>
                </c:pt>
                <c:pt idx="4">
                  <c:v>-7.5922500000160653E-2</c:v>
                </c:pt>
                <c:pt idx="5">
                  <c:v>-0.10628500000166241</c:v>
                </c:pt>
                <c:pt idx="6">
                  <c:v>-0.11543499999970663</c:v>
                </c:pt>
                <c:pt idx="7">
                  <c:v>-0.12553499999921769</c:v>
                </c:pt>
                <c:pt idx="8">
                  <c:v>-0.13249799999903189</c:v>
                </c:pt>
                <c:pt idx="9">
                  <c:v>-0.13229799999680836</c:v>
                </c:pt>
                <c:pt idx="10">
                  <c:v>-0.1317979999948875</c:v>
                </c:pt>
                <c:pt idx="11">
                  <c:v>-0.12927599999966333</c:v>
                </c:pt>
                <c:pt idx="12">
                  <c:v>-0.13229299999511568</c:v>
                </c:pt>
                <c:pt idx="13">
                  <c:v>-0.13591499999893131</c:v>
                </c:pt>
                <c:pt idx="14">
                  <c:v>-0.13639499999408145</c:v>
                </c:pt>
                <c:pt idx="15">
                  <c:v>-0.14435999999841442</c:v>
                </c:pt>
                <c:pt idx="16">
                  <c:v>-0.1441009999907692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E1-40AB-BABA-85784183C3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5735.5</c:v>
                </c:pt>
                <c:pt idx="2">
                  <c:v>5736</c:v>
                </c:pt>
                <c:pt idx="3">
                  <c:v>6545.5</c:v>
                </c:pt>
                <c:pt idx="4">
                  <c:v>6667.5</c:v>
                </c:pt>
                <c:pt idx="5">
                  <c:v>7125</c:v>
                </c:pt>
                <c:pt idx="6">
                  <c:v>7305</c:v>
                </c:pt>
                <c:pt idx="7">
                  <c:v>7445</c:v>
                </c:pt>
                <c:pt idx="8">
                  <c:v>7604</c:v>
                </c:pt>
                <c:pt idx="9">
                  <c:v>7604</c:v>
                </c:pt>
                <c:pt idx="10">
                  <c:v>7604</c:v>
                </c:pt>
                <c:pt idx="11">
                  <c:v>7608</c:v>
                </c:pt>
                <c:pt idx="12">
                  <c:v>7619</c:v>
                </c:pt>
                <c:pt idx="13">
                  <c:v>7745</c:v>
                </c:pt>
                <c:pt idx="14">
                  <c:v>7785</c:v>
                </c:pt>
                <c:pt idx="15">
                  <c:v>8080</c:v>
                </c:pt>
                <c:pt idx="16">
                  <c:v>8083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E1-40AB-BABA-85784183C3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5735.5</c:v>
                </c:pt>
                <c:pt idx="2">
                  <c:v>5736</c:v>
                </c:pt>
                <c:pt idx="3">
                  <c:v>6545.5</c:v>
                </c:pt>
                <c:pt idx="4">
                  <c:v>6667.5</c:v>
                </c:pt>
                <c:pt idx="5">
                  <c:v>7125</c:v>
                </c:pt>
                <c:pt idx="6">
                  <c:v>7305</c:v>
                </c:pt>
                <c:pt idx="7">
                  <c:v>7445</c:v>
                </c:pt>
                <c:pt idx="8">
                  <c:v>7604</c:v>
                </c:pt>
                <c:pt idx="9">
                  <c:v>7604</c:v>
                </c:pt>
                <c:pt idx="10">
                  <c:v>7604</c:v>
                </c:pt>
                <c:pt idx="11">
                  <c:v>7608</c:v>
                </c:pt>
                <c:pt idx="12">
                  <c:v>7619</c:v>
                </c:pt>
                <c:pt idx="13">
                  <c:v>7745</c:v>
                </c:pt>
                <c:pt idx="14">
                  <c:v>7785</c:v>
                </c:pt>
                <c:pt idx="15">
                  <c:v>8080</c:v>
                </c:pt>
                <c:pt idx="16">
                  <c:v>8083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E1-40AB-BABA-85784183C3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5735.5</c:v>
                </c:pt>
                <c:pt idx="2">
                  <c:v>5736</c:v>
                </c:pt>
                <c:pt idx="3">
                  <c:v>6545.5</c:v>
                </c:pt>
                <c:pt idx="4">
                  <c:v>6667.5</c:v>
                </c:pt>
                <c:pt idx="5">
                  <c:v>7125</c:v>
                </c:pt>
                <c:pt idx="6">
                  <c:v>7305</c:v>
                </c:pt>
                <c:pt idx="7">
                  <c:v>7445</c:v>
                </c:pt>
                <c:pt idx="8">
                  <c:v>7604</c:v>
                </c:pt>
                <c:pt idx="9">
                  <c:v>7604</c:v>
                </c:pt>
                <c:pt idx="10">
                  <c:v>7604</c:v>
                </c:pt>
                <c:pt idx="11">
                  <c:v>7608</c:v>
                </c:pt>
                <c:pt idx="12">
                  <c:v>7619</c:v>
                </c:pt>
                <c:pt idx="13">
                  <c:v>7745</c:v>
                </c:pt>
                <c:pt idx="14">
                  <c:v>7785</c:v>
                </c:pt>
                <c:pt idx="15">
                  <c:v>8080</c:v>
                </c:pt>
                <c:pt idx="16">
                  <c:v>8083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E1-40AB-BABA-85784183C3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5735.5</c:v>
                </c:pt>
                <c:pt idx="2">
                  <c:v>5736</c:v>
                </c:pt>
                <c:pt idx="3">
                  <c:v>6545.5</c:v>
                </c:pt>
                <c:pt idx="4">
                  <c:v>6667.5</c:v>
                </c:pt>
                <c:pt idx="5">
                  <c:v>7125</c:v>
                </c:pt>
                <c:pt idx="6">
                  <c:v>7305</c:v>
                </c:pt>
                <c:pt idx="7">
                  <c:v>7445</c:v>
                </c:pt>
                <c:pt idx="8">
                  <c:v>7604</c:v>
                </c:pt>
                <c:pt idx="9">
                  <c:v>7604</c:v>
                </c:pt>
                <c:pt idx="10">
                  <c:v>7604</c:v>
                </c:pt>
                <c:pt idx="11">
                  <c:v>7608</c:v>
                </c:pt>
                <c:pt idx="12">
                  <c:v>7619</c:v>
                </c:pt>
                <c:pt idx="13">
                  <c:v>7745</c:v>
                </c:pt>
                <c:pt idx="14">
                  <c:v>7785</c:v>
                </c:pt>
                <c:pt idx="15">
                  <c:v>8080</c:v>
                </c:pt>
                <c:pt idx="16">
                  <c:v>8083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0.12715417964658085</c:v>
                </c:pt>
                <c:pt idx="1">
                  <c:v>-6.568108071494233E-2</c:v>
                </c:pt>
                <c:pt idx="2">
                  <c:v>-6.5697891390590624E-2</c:v>
                </c:pt>
                <c:pt idx="3">
                  <c:v>-9.2914375265170518E-2</c:v>
                </c:pt>
                <c:pt idx="4">
                  <c:v>-9.701618012335303E-2</c:v>
                </c:pt>
                <c:pt idx="5">
                  <c:v>-0.11239794834153749</c:v>
                </c:pt>
                <c:pt idx="6">
                  <c:v>-0.11844979157492153</c:v>
                </c:pt>
                <c:pt idx="7">
                  <c:v>-0.12315678075644246</c:v>
                </c:pt>
                <c:pt idx="8">
                  <c:v>-0.12850257561259834</c:v>
                </c:pt>
                <c:pt idx="9">
                  <c:v>-0.12850257561259834</c:v>
                </c:pt>
                <c:pt idx="10">
                  <c:v>-0.12850257561259834</c:v>
                </c:pt>
                <c:pt idx="11">
                  <c:v>-0.12863706101778463</c:v>
                </c:pt>
                <c:pt idx="12">
                  <c:v>-0.12900689588204703</c:v>
                </c:pt>
                <c:pt idx="13">
                  <c:v>-0.13324318614541583</c:v>
                </c:pt>
                <c:pt idx="14">
                  <c:v>-0.13458804019727896</c:v>
                </c:pt>
                <c:pt idx="15">
                  <c:v>-0.14450633882976946</c:v>
                </c:pt>
                <c:pt idx="16">
                  <c:v>-0.14460720288365922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E1-40AB-BABA-85784183C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839528"/>
        <c:axId val="1"/>
      </c:scatterChart>
      <c:valAx>
        <c:axId val="610839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83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78207590771671"/>
          <c:y val="0.91975600272188196"/>
          <c:w val="0.7657518900605921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9525</xdr:rowOff>
    </xdr:from>
    <xdr:to>
      <xdr:col>15</xdr:col>
      <xdr:colOff>266700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48ABA9D-A236-C139-0DB2-A320BA16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konkoly.hu/cgi-bin/IBVS?5592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konkoly.hu/cgi-bin/IBVS?5992" TargetMode="External"/><Relationship Id="rId1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2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6" customFormat="1" ht="20.25" x14ac:dyDescent="0.2">
      <c r="A1" s="50" t="s">
        <v>34</v>
      </c>
    </row>
    <row r="2" spans="1:7" s="26" customFormat="1" ht="12.95" customHeight="1" x14ac:dyDescent="0.2">
      <c r="A2" s="26" t="s">
        <v>24</v>
      </c>
      <c r="B2" s="26" t="s">
        <v>28</v>
      </c>
    </row>
    <row r="3" spans="1:7" s="26" customFormat="1" ht="12.95" customHeight="1" x14ac:dyDescent="0.2"/>
    <row r="4" spans="1:7" s="26" customFormat="1" ht="12.95" customHeight="1" x14ac:dyDescent="0.2">
      <c r="A4" s="27" t="s">
        <v>0</v>
      </c>
      <c r="B4" s="27"/>
      <c r="C4" s="28">
        <v>37972.650999999998</v>
      </c>
      <c r="D4" s="29">
        <v>2.3215469999999998</v>
      </c>
    </row>
    <row r="5" spans="1:7" s="26" customFormat="1" ht="12.95" customHeight="1" x14ac:dyDescent="0.2"/>
    <row r="6" spans="1:7" s="26" customFormat="1" ht="12.95" customHeight="1" x14ac:dyDescent="0.2">
      <c r="A6" s="27" t="s">
        <v>1</v>
      </c>
    </row>
    <row r="7" spans="1:7" s="26" customFormat="1" ht="12.95" customHeight="1" x14ac:dyDescent="0.2">
      <c r="A7" s="26" t="s">
        <v>2</v>
      </c>
      <c r="C7" s="26">
        <f>+C4</f>
        <v>37972.650999999998</v>
      </c>
    </row>
    <row r="8" spans="1:7" s="26" customFormat="1" ht="12.95" customHeight="1" x14ac:dyDescent="0.2">
      <c r="A8" s="26" t="s">
        <v>3</v>
      </c>
      <c r="C8" s="26">
        <f>+D4</f>
        <v>2.3215469999999998</v>
      </c>
    </row>
    <row r="9" spans="1:7" s="26" customFormat="1" ht="12.95" customHeight="1" x14ac:dyDescent="0.2">
      <c r="A9" s="30" t="s">
        <v>35</v>
      </c>
      <c r="C9" s="31">
        <v>-9.5</v>
      </c>
      <c r="D9" s="26" t="s">
        <v>36</v>
      </c>
    </row>
    <row r="10" spans="1:7" s="26" customFormat="1" ht="12.95" customHeight="1" thickBot="1" x14ac:dyDescent="0.25">
      <c r="C10" s="32" t="s">
        <v>20</v>
      </c>
      <c r="D10" s="32" t="s">
        <v>21</v>
      </c>
    </row>
    <row r="11" spans="1:7" s="26" customFormat="1" ht="12.95" customHeight="1" x14ac:dyDescent="0.2">
      <c r="A11" s="26" t="s">
        <v>16</v>
      </c>
      <c r="C11" s="33">
        <f ca="1">INTERCEPT(INDIRECT($G$11):G992,INDIRECT($F$11):F992)</f>
        <v>0.12715417964658085</v>
      </c>
      <c r="D11" s="34"/>
      <c r="F11" s="35" t="str">
        <f>"F"&amp;E19</f>
        <v>F22</v>
      </c>
      <c r="G11" s="33" t="str">
        <f>"G"&amp;E19</f>
        <v>G22</v>
      </c>
    </row>
    <row r="12" spans="1:7" s="26" customFormat="1" ht="12.95" customHeight="1" x14ac:dyDescent="0.2">
      <c r="A12" s="26" t="s">
        <v>17</v>
      </c>
      <c r="C12" s="33">
        <f ca="1">SLOPE(INDIRECT($G$11):G992,INDIRECT($F$11):F992)</f>
        <v>-3.3621351296578011E-5</v>
      </c>
      <c r="D12" s="34"/>
    </row>
    <row r="13" spans="1:7" s="26" customFormat="1" ht="12.95" customHeight="1" x14ac:dyDescent="0.2">
      <c r="A13" s="26" t="s">
        <v>19</v>
      </c>
      <c r="C13" s="34" t="s">
        <v>14</v>
      </c>
      <c r="D13" s="36" t="s">
        <v>44</v>
      </c>
      <c r="E13" s="31">
        <v>1</v>
      </c>
    </row>
    <row r="14" spans="1:7" s="26" customFormat="1" ht="12.95" customHeight="1" x14ac:dyDescent="0.2">
      <c r="D14" s="36" t="s">
        <v>37</v>
      </c>
      <c r="E14" s="37">
        <f ca="1">NOW()+15018.5+$C$9/24</f>
        <v>60378.683580555553</v>
      </c>
    </row>
    <row r="15" spans="1:7" s="26" customFormat="1" ht="12.95" customHeight="1" x14ac:dyDescent="0.2">
      <c r="A15" s="38" t="s">
        <v>18</v>
      </c>
      <c r="C15" s="39">
        <f ca="1">(C7+C11)+(C8+C12)*INT(MAX(F21:F3533))</f>
        <v>56737.570793797116</v>
      </c>
      <c r="D15" s="36" t="s">
        <v>45</v>
      </c>
      <c r="E15" s="37">
        <f ca="1">ROUND(2*(E14-$C$7)/$C$8,0)/2+E13</f>
        <v>9652.5</v>
      </c>
    </row>
    <row r="16" spans="1:7" s="26" customFormat="1" ht="12.95" customHeight="1" x14ac:dyDescent="0.2">
      <c r="A16" s="27" t="s">
        <v>4</v>
      </c>
      <c r="C16" s="40">
        <f ca="1">+C8+C12</f>
        <v>2.3215133786487034</v>
      </c>
      <c r="D16" s="36" t="s">
        <v>38</v>
      </c>
      <c r="E16" s="33">
        <f ca="1">ROUND(2*(E14-$C$15)/$C$16,0)/2+E13</f>
        <v>1569.5</v>
      </c>
    </row>
    <row r="17" spans="1:17" s="26" customFormat="1" ht="12.95" customHeight="1" thickBot="1" x14ac:dyDescent="0.25">
      <c r="A17" s="36" t="s">
        <v>39</v>
      </c>
      <c r="C17" s="26">
        <f>COUNT(C21:C2191)</f>
        <v>17</v>
      </c>
      <c r="D17" s="36" t="s">
        <v>40</v>
      </c>
      <c r="E17" s="41">
        <f ca="1">+$C$15+$C$16*E16-15018.5-$C$9/24</f>
        <v>45363.08187491959</v>
      </c>
    </row>
    <row r="18" spans="1:17" s="26" customFormat="1" ht="12.95" customHeight="1" thickTop="1" thickBot="1" x14ac:dyDescent="0.25">
      <c r="A18" s="27" t="s">
        <v>5</v>
      </c>
      <c r="C18" s="28">
        <f ca="1">+C15</f>
        <v>56737.570793797116</v>
      </c>
      <c r="D18" s="29">
        <f ca="1">+C16</f>
        <v>2.3215133786487034</v>
      </c>
      <c r="E18" s="42" t="s">
        <v>41</v>
      </c>
    </row>
    <row r="19" spans="1:17" s="26" customFormat="1" ht="12.95" customHeight="1" thickTop="1" x14ac:dyDescent="0.2">
      <c r="A19" s="43" t="s">
        <v>42</v>
      </c>
      <c r="E19" s="44">
        <v>22</v>
      </c>
    </row>
    <row r="20" spans="1:17" s="26" customFormat="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13</v>
      </c>
      <c r="E20" s="32" t="s">
        <v>9</v>
      </c>
      <c r="F20" s="32" t="s">
        <v>10</v>
      </c>
      <c r="G20" s="32" t="s">
        <v>11</v>
      </c>
      <c r="H20" s="45" t="s">
        <v>12</v>
      </c>
      <c r="I20" s="45" t="s">
        <v>62</v>
      </c>
      <c r="J20" s="45" t="s">
        <v>130</v>
      </c>
      <c r="K20" s="45" t="s">
        <v>54</v>
      </c>
      <c r="L20" s="45" t="s">
        <v>25</v>
      </c>
      <c r="M20" s="45" t="s">
        <v>26</v>
      </c>
      <c r="N20" s="45" t="s">
        <v>27</v>
      </c>
      <c r="O20" s="45" t="s">
        <v>23</v>
      </c>
      <c r="P20" s="46" t="s">
        <v>22</v>
      </c>
      <c r="Q20" s="32" t="s">
        <v>15</v>
      </c>
    </row>
    <row r="21" spans="1:17" s="26" customFormat="1" ht="12.95" customHeight="1" x14ac:dyDescent="0.2">
      <c r="A21" s="26" t="s">
        <v>12</v>
      </c>
      <c r="B21" s="34" t="s">
        <v>29</v>
      </c>
      <c r="C21" s="47">
        <v>37972.650999999998</v>
      </c>
      <c r="D21" s="47" t="s">
        <v>14</v>
      </c>
      <c r="E21" s="26">
        <f t="shared" ref="E21:E33" si="0">+(C21-C$7)/C$8</f>
        <v>0</v>
      </c>
      <c r="F21" s="26">
        <f t="shared" ref="F21:F37" si="1">ROUND(2*E21,0)/2</f>
        <v>0</v>
      </c>
      <c r="G21" s="26">
        <f t="shared" ref="G21:G33" si="2">+C21-(C$7+F21*C$8)</f>
        <v>0</v>
      </c>
      <c r="H21" s="26">
        <f>+G21</f>
        <v>0</v>
      </c>
      <c r="O21" s="26">
        <f t="shared" ref="O21:O33" ca="1" si="3">+C$11+C$12*F21</f>
        <v>0.12715417964658085</v>
      </c>
      <c r="Q21" s="48">
        <f t="shared" ref="Q21:Q33" si="4">+C21-15018.5</f>
        <v>22954.150999999998</v>
      </c>
    </row>
    <row r="22" spans="1:17" s="26" customFormat="1" ht="12.95" customHeight="1" x14ac:dyDescent="0.2">
      <c r="A22" s="26" t="s">
        <v>30</v>
      </c>
      <c r="B22" s="34" t="s">
        <v>31</v>
      </c>
      <c r="C22" s="47">
        <v>51287.806499999999</v>
      </c>
      <c r="D22" s="47"/>
      <c r="E22" s="26">
        <f t="shared" si="0"/>
        <v>5735.4666952682855</v>
      </c>
      <c r="F22" s="26">
        <f t="shared" si="1"/>
        <v>5735.5</v>
      </c>
      <c r="G22" s="26">
        <f t="shared" si="2"/>
        <v>-7.7318499999819323E-2</v>
      </c>
      <c r="I22" s="26">
        <f>+G22</f>
        <v>-7.7318499999819323E-2</v>
      </c>
      <c r="O22" s="26">
        <f t="shared" ca="1" si="3"/>
        <v>-6.568108071494233E-2</v>
      </c>
      <c r="Q22" s="48">
        <f t="shared" si="4"/>
        <v>36269.306499999999</v>
      </c>
    </row>
    <row r="23" spans="1:17" s="26" customFormat="1" ht="12.95" customHeight="1" x14ac:dyDescent="0.2">
      <c r="A23" s="26" t="s">
        <v>30</v>
      </c>
      <c r="B23" s="34" t="s">
        <v>29</v>
      </c>
      <c r="C23" s="47">
        <v>51288.973100000003</v>
      </c>
      <c r="D23" s="47"/>
      <c r="E23" s="26">
        <f t="shared" si="0"/>
        <v>5735.9692050171743</v>
      </c>
      <c r="F23" s="26">
        <f t="shared" si="1"/>
        <v>5736</v>
      </c>
      <c r="G23" s="26">
        <f t="shared" si="2"/>
        <v>-7.1491999995487276E-2</v>
      </c>
      <c r="I23" s="26">
        <f>+G23</f>
        <v>-7.1491999995487276E-2</v>
      </c>
      <c r="O23" s="26">
        <f t="shared" ca="1" si="3"/>
        <v>-6.5697891390590624E-2</v>
      </c>
      <c r="Q23" s="48">
        <f t="shared" si="4"/>
        <v>36270.473100000003</v>
      </c>
    </row>
    <row r="24" spans="1:17" s="26" customFormat="1" ht="12.95" customHeight="1" x14ac:dyDescent="0.2">
      <c r="A24" s="26" t="s">
        <v>32</v>
      </c>
      <c r="B24" s="34" t="s">
        <v>31</v>
      </c>
      <c r="C24" s="47">
        <v>53168.252399999998</v>
      </c>
      <c r="D24" s="47">
        <v>1E-3</v>
      </c>
      <c r="E24" s="26">
        <f t="shared" si="0"/>
        <v>6545.4636068104592</v>
      </c>
      <c r="F24" s="26">
        <f t="shared" si="1"/>
        <v>6545.5</v>
      </c>
      <c r="G24" s="26">
        <f t="shared" si="2"/>
        <v>-8.448849999695085E-2</v>
      </c>
      <c r="K24" s="26">
        <f>+G24</f>
        <v>-8.448849999695085E-2</v>
      </c>
      <c r="O24" s="26">
        <f t="shared" ca="1" si="3"/>
        <v>-9.2914375265170518E-2</v>
      </c>
      <c r="Q24" s="48">
        <f t="shared" si="4"/>
        <v>38149.752399999998</v>
      </c>
    </row>
    <row r="25" spans="1:17" s="26" customFormat="1" ht="12.95" customHeight="1" x14ac:dyDescent="0.2">
      <c r="A25" s="5" t="s">
        <v>33</v>
      </c>
      <c r="B25" s="49"/>
      <c r="C25" s="6">
        <v>53451.489699999998</v>
      </c>
      <c r="D25" s="6">
        <v>2.0999999999999999E-3</v>
      </c>
      <c r="E25" s="26">
        <f t="shared" si="0"/>
        <v>6667.4672965914542</v>
      </c>
      <c r="F25" s="26">
        <f t="shared" si="1"/>
        <v>6667.5</v>
      </c>
      <c r="G25" s="26">
        <f t="shared" si="2"/>
        <v>-7.5922500000160653E-2</v>
      </c>
      <c r="K25" s="26">
        <f>+G25</f>
        <v>-7.5922500000160653E-2</v>
      </c>
      <c r="O25" s="26">
        <f t="shared" ca="1" si="3"/>
        <v>-9.701618012335303E-2</v>
      </c>
      <c r="Q25" s="48">
        <f t="shared" si="4"/>
        <v>38432.989699999998</v>
      </c>
    </row>
    <row r="26" spans="1:17" s="26" customFormat="1" ht="12.95" customHeight="1" x14ac:dyDescent="0.2">
      <c r="A26" s="5" t="s">
        <v>43</v>
      </c>
      <c r="B26" s="7" t="s">
        <v>29</v>
      </c>
      <c r="C26" s="6">
        <v>54513.567089999997</v>
      </c>
      <c r="D26" s="6">
        <v>1E-4</v>
      </c>
      <c r="E26" s="26">
        <f t="shared" si="0"/>
        <v>7124.9542180278922</v>
      </c>
      <c r="F26" s="26">
        <f t="shared" si="1"/>
        <v>7125</v>
      </c>
      <c r="G26" s="26">
        <f t="shared" si="2"/>
        <v>-0.10628500000166241</v>
      </c>
      <c r="K26" s="26">
        <f>+G26</f>
        <v>-0.10628500000166241</v>
      </c>
      <c r="O26" s="26">
        <f t="shared" ca="1" si="3"/>
        <v>-0.11239794834153749</v>
      </c>
      <c r="Q26" s="48">
        <f t="shared" si="4"/>
        <v>39495.067089999997</v>
      </c>
    </row>
    <row r="27" spans="1:17" s="26" customFormat="1" ht="12.95" customHeight="1" x14ac:dyDescent="0.2">
      <c r="A27" s="6" t="s">
        <v>47</v>
      </c>
      <c r="B27" s="7" t="s">
        <v>29</v>
      </c>
      <c r="C27" s="6">
        <v>54931.436399999999</v>
      </c>
      <c r="D27" s="6">
        <v>6.9999999999999999E-4</v>
      </c>
      <c r="E27" s="26">
        <f t="shared" si="0"/>
        <v>7304.9502766905007</v>
      </c>
      <c r="F27" s="26">
        <f t="shared" si="1"/>
        <v>7305</v>
      </c>
      <c r="G27" s="26">
        <f t="shared" si="2"/>
        <v>-0.11543499999970663</v>
      </c>
      <c r="K27" s="26">
        <f>+G27</f>
        <v>-0.11543499999970663</v>
      </c>
      <c r="O27" s="26">
        <f t="shared" ca="1" si="3"/>
        <v>-0.11844979157492153</v>
      </c>
      <c r="Q27" s="48">
        <f t="shared" si="4"/>
        <v>39912.936399999999</v>
      </c>
    </row>
    <row r="28" spans="1:17" s="26" customFormat="1" ht="12.95" customHeight="1" x14ac:dyDescent="0.2">
      <c r="A28" s="5" t="s">
        <v>46</v>
      </c>
      <c r="B28" s="7" t="s">
        <v>29</v>
      </c>
      <c r="C28" s="6">
        <v>55256.442880000002</v>
      </c>
      <c r="D28" s="6">
        <v>1E-4</v>
      </c>
      <c r="E28" s="26">
        <f t="shared" si="0"/>
        <v>7444.9459261432166</v>
      </c>
      <c r="F28" s="26">
        <f t="shared" si="1"/>
        <v>7445</v>
      </c>
      <c r="G28" s="26">
        <f t="shared" si="2"/>
        <v>-0.12553499999921769</v>
      </c>
      <c r="K28" s="26">
        <f>+G28</f>
        <v>-0.12553499999921769</v>
      </c>
      <c r="O28" s="26">
        <f t="shared" ca="1" si="3"/>
        <v>-0.12315678075644246</v>
      </c>
      <c r="Q28" s="48">
        <f t="shared" si="4"/>
        <v>40237.942880000002</v>
      </c>
    </row>
    <row r="29" spans="1:17" s="26" customFormat="1" ht="12.95" customHeight="1" x14ac:dyDescent="0.2">
      <c r="A29" s="5" t="s">
        <v>46</v>
      </c>
      <c r="B29" s="7" t="s">
        <v>29</v>
      </c>
      <c r="C29" s="6">
        <v>55625.561889999997</v>
      </c>
      <c r="D29" s="6">
        <v>1E-3</v>
      </c>
      <c r="E29" s="26">
        <f t="shared" si="0"/>
        <v>7603.9429268500708</v>
      </c>
      <c r="F29" s="26">
        <f t="shared" si="1"/>
        <v>7604</v>
      </c>
      <c r="G29" s="26">
        <f t="shared" si="2"/>
        <v>-0.13249799999903189</v>
      </c>
      <c r="K29" s="26">
        <f>+G29</f>
        <v>-0.13249799999903189</v>
      </c>
      <c r="O29" s="26">
        <f t="shared" ca="1" si="3"/>
        <v>-0.12850257561259834</v>
      </c>
      <c r="Q29" s="48">
        <f t="shared" si="4"/>
        <v>40607.061889999997</v>
      </c>
    </row>
    <row r="30" spans="1:17" s="26" customFormat="1" ht="12.95" customHeight="1" x14ac:dyDescent="0.2">
      <c r="A30" s="5" t="s">
        <v>46</v>
      </c>
      <c r="B30" s="7" t="s">
        <v>29</v>
      </c>
      <c r="C30" s="6">
        <v>55625.562089999999</v>
      </c>
      <c r="D30" s="6">
        <v>5.0000000000000001E-4</v>
      </c>
      <c r="E30" s="26">
        <f t="shared" si="0"/>
        <v>7603.9430129995226</v>
      </c>
      <c r="F30" s="26">
        <f t="shared" si="1"/>
        <v>7604</v>
      </c>
      <c r="G30" s="26">
        <f t="shared" si="2"/>
        <v>-0.13229799999680836</v>
      </c>
      <c r="K30" s="26">
        <f>+G30</f>
        <v>-0.13229799999680836</v>
      </c>
      <c r="O30" s="26">
        <f t="shared" ca="1" si="3"/>
        <v>-0.12850257561259834</v>
      </c>
      <c r="Q30" s="48">
        <f t="shared" si="4"/>
        <v>40607.062089999999</v>
      </c>
    </row>
    <row r="31" spans="1:17" s="26" customFormat="1" ht="12.95" customHeight="1" x14ac:dyDescent="0.2">
      <c r="A31" s="5" t="s">
        <v>46</v>
      </c>
      <c r="B31" s="7" t="s">
        <v>29</v>
      </c>
      <c r="C31" s="6">
        <v>55625.562590000001</v>
      </c>
      <c r="D31" s="6">
        <v>2.9999999999999997E-4</v>
      </c>
      <c r="E31" s="26">
        <f t="shared" si="0"/>
        <v>7603.9432283731512</v>
      </c>
      <c r="F31" s="26">
        <f t="shared" si="1"/>
        <v>7604</v>
      </c>
      <c r="G31" s="26">
        <f t="shared" si="2"/>
        <v>-0.1317979999948875</v>
      </c>
      <c r="K31" s="26">
        <f>+G31</f>
        <v>-0.1317979999948875</v>
      </c>
      <c r="O31" s="26">
        <f t="shared" ca="1" si="3"/>
        <v>-0.12850257561259834</v>
      </c>
      <c r="Q31" s="48">
        <f t="shared" si="4"/>
        <v>40607.062590000001</v>
      </c>
    </row>
    <row r="32" spans="1:17" s="26" customFormat="1" ht="12.95" customHeight="1" x14ac:dyDescent="0.2">
      <c r="A32" s="6" t="s">
        <v>48</v>
      </c>
      <c r="B32" s="7" t="s">
        <v>29</v>
      </c>
      <c r="C32" s="6">
        <v>55634.851300000002</v>
      </c>
      <c r="D32" s="6">
        <v>1.1999999999999999E-3</v>
      </c>
      <c r="E32" s="26">
        <f t="shared" si="0"/>
        <v>7607.9443147177317</v>
      </c>
      <c r="F32" s="26">
        <f t="shared" si="1"/>
        <v>7608</v>
      </c>
      <c r="G32" s="26">
        <f t="shared" si="2"/>
        <v>-0.12927599999966333</v>
      </c>
      <c r="K32" s="26">
        <f>+G32</f>
        <v>-0.12927599999966333</v>
      </c>
      <c r="O32" s="26">
        <f t="shared" ca="1" si="3"/>
        <v>-0.12863706101778463</v>
      </c>
      <c r="Q32" s="48">
        <f t="shared" si="4"/>
        <v>40616.351300000002</v>
      </c>
    </row>
    <row r="33" spans="1:17" s="26" customFormat="1" ht="12.95" customHeight="1" x14ac:dyDescent="0.2">
      <c r="A33" s="6" t="s">
        <v>49</v>
      </c>
      <c r="B33" s="7" t="s">
        <v>29</v>
      </c>
      <c r="C33" s="6">
        <v>55660.385300000002</v>
      </c>
      <c r="D33" s="6">
        <v>3.5000000000000001E-3</v>
      </c>
      <c r="E33" s="26">
        <f t="shared" si="0"/>
        <v>7618.9430151532597</v>
      </c>
      <c r="F33" s="26">
        <f t="shared" si="1"/>
        <v>7619</v>
      </c>
      <c r="G33" s="26">
        <f t="shared" si="2"/>
        <v>-0.13229299999511568</v>
      </c>
      <c r="K33" s="26">
        <f>+G33</f>
        <v>-0.13229299999511568</v>
      </c>
      <c r="O33" s="26">
        <f t="shared" ca="1" si="3"/>
        <v>-0.12900689588204703</v>
      </c>
      <c r="Q33" s="48">
        <f t="shared" si="4"/>
        <v>40641.885300000002</v>
      </c>
    </row>
    <row r="34" spans="1:17" x14ac:dyDescent="0.2">
      <c r="A34" s="8" t="s">
        <v>50</v>
      </c>
      <c r="B34" s="9" t="s">
        <v>29</v>
      </c>
      <c r="C34" s="8">
        <v>55952.8966</v>
      </c>
      <c r="D34" s="8">
        <v>1E-4</v>
      </c>
      <c r="E34">
        <f>+(C34-C$7)/C$8</f>
        <v>7744.9414549866979</v>
      </c>
      <c r="F34">
        <f t="shared" si="1"/>
        <v>7745</v>
      </c>
      <c r="G34">
        <f>+C34-(C$7+F34*C$8)</f>
        <v>-0.13591499999893131</v>
      </c>
      <c r="K34">
        <f>+G34</f>
        <v>-0.13591499999893131</v>
      </c>
      <c r="O34">
        <f ca="1">+C$11+C$12*F34</f>
        <v>-0.13324318614541583</v>
      </c>
      <c r="Q34" s="1">
        <f>+C34-15018.5</f>
        <v>40934.3966</v>
      </c>
    </row>
    <row r="35" spans="1:17" x14ac:dyDescent="0.2">
      <c r="A35" s="8" t="s">
        <v>50</v>
      </c>
      <c r="B35" s="9" t="s">
        <v>29</v>
      </c>
      <c r="C35" s="8">
        <v>56045.758000000002</v>
      </c>
      <c r="D35" s="8">
        <v>8.0000000000000002E-3</v>
      </c>
      <c r="E35">
        <f>+(C35-C$7)/C$8</f>
        <v>7784.9412482280159</v>
      </c>
      <c r="F35">
        <f t="shared" si="1"/>
        <v>7785</v>
      </c>
      <c r="G35">
        <f>+C35-(C$7+F35*C$8)</f>
        <v>-0.13639499999408145</v>
      </c>
      <c r="K35">
        <f>+G35</f>
        <v>-0.13639499999408145</v>
      </c>
      <c r="O35">
        <f ca="1">+C$11+C$12*F35</f>
        <v>-0.13458804019727896</v>
      </c>
      <c r="Q35" s="1">
        <f>+C35-15018.5</f>
        <v>41027.258000000002</v>
      </c>
    </row>
    <row r="36" spans="1:17" x14ac:dyDescent="0.2">
      <c r="A36" s="10" t="s">
        <v>51</v>
      </c>
      <c r="B36" s="11" t="s">
        <v>29</v>
      </c>
      <c r="C36" s="10">
        <v>56730.606399999997</v>
      </c>
      <c r="D36" s="10">
        <v>3.5000000000000001E-3</v>
      </c>
      <c r="E36">
        <f>+(C36-C$7)/C$8</f>
        <v>8079.9378173261193</v>
      </c>
      <c r="F36">
        <f t="shared" si="1"/>
        <v>8080</v>
      </c>
      <c r="G36">
        <f>+C36-(C$7+F36*C$8)</f>
        <v>-0.14435999999841442</v>
      </c>
      <c r="K36">
        <f>+G36</f>
        <v>-0.14435999999841442</v>
      </c>
      <c r="O36">
        <f ca="1">+C$11+C$12*F36</f>
        <v>-0.14450633882976946</v>
      </c>
      <c r="Q36" s="1">
        <f>+C36-15018.5</f>
        <v>41712.106399999997</v>
      </c>
    </row>
    <row r="37" spans="1:17" x14ac:dyDescent="0.2">
      <c r="A37" s="10" t="s">
        <v>51</v>
      </c>
      <c r="B37" s="11" t="s">
        <v>29</v>
      </c>
      <c r="C37" s="10">
        <v>56737.571300000003</v>
      </c>
      <c r="D37" s="10">
        <v>4.0000000000000001E-3</v>
      </c>
      <c r="E37">
        <f>+(C37-C$7)/C$8</f>
        <v>8082.9379288896616</v>
      </c>
      <c r="F37">
        <f t="shared" si="1"/>
        <v>8083</v>
      </c>
      <c r="G37">
        <f>+C37-(C$7+F37*C$8)</f>
        <v>-0.1441009999907692</v>
      </c>
      <c r="K37">
        <f>+G37</f>
        <v>-0.1441009999907692</v>
      </c>
      <c r="O37">
        <f ca="1">+C$11+C$12*F37</f>
        <v>-0.14460720288365922</v>
      </c>
      <c r="Q37" s="1">
        <f>+C37-15018.5</f>
        <v>41719.071300000003</v>
      </c>
    </row>
    <row r="38" spans="1:17" x14ac:dyDescent="0.2">
      <c r="B38" s="2"/>
      <c r="C38" s="3"/>
      <c r="D38" s="3"/>
    </row>
    <row r="39" spans="1:17" x14ac:dyDescent="0.2">
      <c r="B39" s="2"/>
      <c r="C39" s="3"/>
      <c r="D39" s="3"/>
    </row>
    <row r="40" spans="1:17" x14ac:dyDescent="0.2">
      <c r="B40" s="2"/>
      <c r="C40" s="3"/>
      <c r="D40" s="3"/>
    </row>
    <row r="41" spans="1:17" x14ac:dyDescent="0.2">
      <c r="B41" s="2"/>
      <c r="C41" s="3"/>
      <c r="D41" s="3"/>
    </row>
    <row r="42" spans="1:17" x14ac:dyDescent="0.2">
      <c r="B42" s="2"/>
      <c r="C42" s="3"/>
      <c r="D42" s="3"/>
    </row>
    <row r="43" spans="1:17" x14ac:dyDescent="0.2">
      <c r="B43" s="2"/>
      <c r="C43" s="3"/>
      <c r="D43" s="3"/>
    </row>
    <row r="44" spans="1:17" x14ac:dyDescent="0.2">
      <c r="B44" s="2"/>
      <c r="C44" s="3"/>
      <c r="D44" s="3"/>
    </row>
    <row r="45" spans="1:17" x14ac:dyDescent="0.2">
      <c r="B45" s="2"/>
      <c r="C45" s="3"/>
      <c r="D45" s="3"/>
    </row>
    <row r="46" spans="1:17" x14ac:dyDescent="0.2">
      <c r="B46" s="2"/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5"/>
  <sheetViews>
    <sheetView topLeftCell="A2" workbookViewId="0">
      <selection activeCell="A11" sqref="A11:IV448"/>
    </sheetView>
  </sheetViews>
  <sheetFormatPr defaultRowHeight="12.75" x14ac:dyDescent="0.2"/>
  <cols>
    <col min="1" max="1" width="19.7109375" style="13" customWidth="1"/>
    <col min="2" max="2" width="4.42578125" style="4" customWidth="1"/>
    <col min="3" max="3" width="12.7109375" style="1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1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2" t="s">
        <v>52</v>
      </c>
      <c r="I1" s="14" t="s">
        <v>53</v>
      </c>
      <c r="J1" s="15" t="s">
        <v>54</v>
      </c>
    </row>
    <row r="2" spans="1:16" x14ac:dyDescent="0.2">
      <c r="I2" s="16" t="s">
        <v>55</v>
      </c>
      <c r="J2" s="17" t="s">
        <v>56</v>
      </c>
    </row>
    <row r="3" spans="1:16" x14ac:dyDescent="0.2">
      <c r="A3" s="18" t="s">
        <v>57</v>
      </c>
      <c r="I3" s="16" t="s">
        <v>58</v>
      </c>
      <c r="J3" s="17" t="s">
        <v>59</v>
      </c>
    </row>
    <row r="4" spans="1:16" x14ac:dyDescent="0.2">
      <c r="I4" s="16" t="s">
        <v>60</v>
      </c>
      <c r="J4" s="17" t="s">
        <v>59</v>
      </c>
    </row>
    <row r="5" spans="1:16" ht="13.5" thickBot="1" x14ac:dyDescent="0.25">
      <c r="I5" s="19" t="s">
        <v>61</v>
      </c>
      <c r="J5" s="20" t="s">
        <v>62</v>
      </c>
    </row>
    <row r="10" spans="1:16" ht="13.5" thickBot="1" x14ac:dyDescent="0.25"/>
    <row r="11" spans="1:16" ht="12.75" customHeight="1" thickBot="1" x14ac:dyDescent="0.25">
      <c r="A11" s="13" t="str">
        <f t="shared" ref="A11:A24" si="0">P11</f>
        <v>IBVS 5592 </v>
      </c>
      <c r="B11" s="2" t="str">
        <f t="shared" ref="B11:B24" si="1">IF(H11=INT(H11),"I","II")</f>
        <v>II</v>
      </c>
      <c r="C11" s="13">
        <f t="shared" ref="C11:C24" si="2">1*G11</f>
        <v>53168.252399999998</v>
      </c>
      <c r="D11" s="4" t="str">
        <f t="shared" ref="D11:D24" si="3">VLOOKUP(F11,I$1:J$5,2,FALSE)</f>
        <v>vis</v>
      </c>
      <c r="E11" s="21">
        <f>VLOOKUP(C11,Active!C$21:E$973,3,FALSE)</f>
        <v>6545.4636068104592</v>
      </c>
      <c r="F11" s="2" t="s">
        <v>61</v>
      </c>
      <c r="G11" s="4" t="str">
        <f t="shared" ref="G11:G24" si="4">MID(I11,3,LEN(I11)-3)</f>
        <v>53168.2524</v>
      </c>
      <c r="H11" s="13">
        <f t="shared" ref="H11:H24" si="5">1*K11</f>
        <v>6545.5</v>
      </c>
      <c r="I11" s="22" t="s">
        <v>63</v>
      </c>
      <c r="J11" s="23" t="s">
        <v>64</v>
      </c>
      <c r="K11" s="22">
        <v>6545.5</v>
      </c>
      <c r="L11" s="22" t="s">
        <v>65</v>
      </c>
      <c r="M11" s="23" t="s">
        <v>66</v>
      </c>
      <c r="N11" s="23" t="s">
        <v>67</v>
      </c>
      <c r="O11" s="24" t="s">
        <v>68</v>
      </c>
      <c r="P11" s="25" t="s">
        <v>69</v>
      </c>
    </row>
    <row r="12" spans="1:16" ht="12.75" customHeight="1" thickBot="1" x14ac:dyDescent="0.25">
      <c r="A12" s="13" t="str">
        <f t="shared" si="0"/>
        <v>BAVM 173 </v>
      </c>
      <c r="B12" s="2" t="str">
        <f t="shared" si="1"/>
        <v>II</v>
      </c>
      <c r="C12" s="13">
        <f t="shared" si="2"/>
        <v>53451.489699999998</v>
      </c>
      <c r="D12" s="4" t="str">
        <f t="shared" si="3"/>
        <v>vis</v>
      </c>
      <c r="E12" s="21">
        <f>VLOOKUP(C12,Active!C$21:E$973,3,FALSE)</f>
        <v>6667.4672965914542</v>
      </c>
      <c r="F12" s="2" t="s">
        <v>61</v>
      </c>
      <c r="G12" s="4" t="str">
        <f t="shared" si="4"/>
        <v>53451.4897</v>
      </c>
      <c r="H12" s="13">
        <f t="shared" si="5"/>
        <v>6667.5</v>
      </c>
      <c r="I12" s="22" t="s">
        <v>70</v>
      </c>
      <c r="J12" s="23" t="s">
        <v>71</v>
      </c>
      <c r="K12" s="22">
        <v>6667.5</v>
      </c>
      <c r="L12" s="22" t="s">
        <v>72</v>
      </c>
      <c r="M12" s="23" t="s">
        <v>66</v>
      </c>
      <c r="N12" s="23" t="s">
        <v>73</v>
      </c>
      <c r="O12" s="24" t="s">
        <v>74</v>
      </c>
      <c r="P12" s="25" t="s">
        <v>75</v>
      </c>
    </row>
    <row r="13" spans="1:16" ht="12.75" customHeight="1" thickBot="1" x14ac:dyDescent="0.25">
      <c r="A13" s="13" t="str">
        <f t="shared" si="0"/>
        <v>BAVM 209 </v>
      </c>
      <c r="B13" s="2" t="str">
        <f t="shared" si="1"/>
        <v>I</v>
      </c>
      <c r="C13" s="13">
        <f t="shared" si="2"/>
        <v>54931.436399999999</v>
      </c>
      <c r="D13" s="4" t="str">
        <f t="shared" si="3"/>
        <v>vis</v>
      </c>
      <c r="E13" s="21">
        <f>VLOOKUP(C13,Active!C$21:E$973,3,FALSE)</f>
        <v>7304.9502766905007</v>
      </c>
      <c r="F13" s="2" t="s">
        <v>61</v>
      </c>
      <c r="G13" s="4" t="str">
        <f t="shared" si="4"/>
        <v>54931.4364</v>
      </c>
      <c r="H13" s="13">
        <f t="shared" si="5"/>
        <v>7305</v>
      </c>
      <c r="I13" s="22" t="s">
        <v>84</v>
      </c>
      <c r="J13" s="23" t="s">
        <v>85</v>
      </c>
      <c r="K13" s="22" t="s">
        <v>86</v>
      </c>
      <c r="L13" s="22" t="s">
        <v>87</v>
      </c>
      <c r="M13" s="23" t="s">
        <v>80</v>
      </c>
      <c r="N13" s="23" t="s">
        <v>73</v>
      </c>
      <c r="O13" s="24" t="s">
        <v>74</v>
      </c>
      <c r="P13" s="25" t="s">
        <v>88</v>
      </c>
    </row>
    <row r="14" spans="1:16" ht="12.75" customHeight="1" thickBot="1" x14ac:dyDescent="0.25">
      <c r="A14" s="13" t="str">
        <f t="shared" si="0"/>
        <v>IBVS 5992 </v>
      </c>
      <c r="B14" s="2" t="str">
        <f t="shared" si="1"/>
        <v>I</v>
      </c>
      <c r="C14" s="13">
        <f t="shared" si="2"/>
        <v>55634.851300000002</v>
      </c>
      <c r="D14" s="4" t="str">
        <f t="shared" si="3"/>
        <v>vis</v>
      </c>
      <c r="E14" s="21">
        <f>VLOOKUP(C14,Active!C$21:E$973,3,FALSE)</f>
        <v>7607.9443147177317</v>
      </c>
      <c r="F14" s="2" t="s">
        <v>61</v>
      </c>
      <c r="G14" s="4" t="str">
        <f t="shared" si="4"/>
        <v>55634.8513</v>
      </c>
      <c r="H14" s="13">
        <f t="shared" si="5"/>
        <v>7608</v>
      </c>
      <c r="I14" s="22" t="s">
        <v>105</v>
      </c>
      <c r="J14" s="23" t="s">
        <v>106</v>
      </c>
      <c r="K14" s="22" t="s">
        <v>107</v>
      </c>
      <c r="L14" s="22" t="s">
        <v>108</v>
      </c>
      <c r="M14" s="23" t="s">
        <v>80</v>
      </c>
      <c r="N14" s="23" t="s">
        <v>61</v>
      </c>
      <c r="O14" s="24" t="s">
        <v>109</v>
      </c>
      <c r="P14" s="25" t="s">
        <v>110</v>
      </c>
    </row>
    <row r="15" spans="1:16" ht="12.75" customHeight="1" thickBot="1" x14ac:dyDescent="0.25">
      <c r="A15" s="13" t="str">
        <f t="shared" si="0"/>
        <v>BAVM 220 </v>
      </c>
      <c r="B15" s="2" t="str">
        <f t="shared" si="1"/>
        <v>I</v>
      </c>
      <c r="C15" s="13">
        <f t="shared" si="2"/>
        <v>55660.385300000002</v>
      </c>
      <c r="D15" s="4" t="str">
        <f t="shared" si="3"/>
        <v>vis</v>
      </c>
      <c r="E15" s="21">
        <f>VLOOKUP(C15,Active!C$21:E$973,3,FALSE)</f>
        <v>7618.9430151532597</v>
      </c>
      <c r="F15" s="2" t="s">
        <v>61</v>
      </c>
      <c r="G15" s="4" t="str">
        <f t="shared" si="4"/>
        <v>55660.3853</v>
      </c>
      <c r="H15" s="13">
        <f t="shared" si="5"/>
        <v>7619</v>
      </c>
      <c r="I15" s="22" t="s">
        <v>111</v>
      </c>
      <c r="J15" s="23" t="s">
        <v>112</v>
      </c>
      <c r="K15" s="22" t="s">
        <v>113</v>
      </c>
      <c r="L15" s="22" t="s">
        <v>114</v>
      </c>
      <c r="M15" s="23" t="s">
        <v>80</v>
      </c>
      <c r="N15" s="23">
        <v>0</v>
      </c>
      <c r="O15" s="24" t="s">
        <v>74</v>
      </c>
      <c r="P15" s="25" t="s">
        <v>115</v>
      </c>
    </row>
    <row r="16" spans="1:16" ht="12.75" customHeight="1" thickBot="1" x14ac:dyDescent="0.25">
      <c r="A16" s="13" t="str">
        <f t="shared" si="0"/>
        <v>IBVS 6029 </v>
      </c>
      <c r="B16" s="2" t="str">
        <f t="shared" si="1"/>
        <v>I</v>
      </c>
      <c r="C16" s="13">
        <f t="shared" si="2"/>
        <v>55952.8966</v>
      </c>
      <c r="D16" s="4" t="str">
        <f t="shared" si="3"/>
        <v>vis</v>
      </c>
      <c r="E16" s="21">
        <f>VLOOKUP(C16,Active!C$21:E$973,3,FALSE)</f>
        <v>7744.9414549866979</v>
      </c>
      <c r="F16" s="2" t="s">
        <v>61</v>
      </c>
      <c r="G16" s="4" t="str">
        <f t="shared" si="4"/>
        <v>55952.8966</v>
      </c>
      <c r="H16" s="13">
        <f t="shared" si="5"/>
        <v>7745</v>
      </c>
      <c r="I16" s="22" t="s">
        <v>116</v>
      </c>
      <c r="J16" s="23" t="s">
        <v>117</v>
      </c>
      <c r="K16" s="22">
        <v>7745</v>
      </c>
      <c r="L16" s="22" t="s">
        <v>118</v>
      </c>
      <c r="M16" s="23" t="s">
        <v>80</v>
      </c>
      <c r="N16" s="23" t="s">
        <v>61</v>
      </c>
      <c r="O16" s="24" t="s">
        <v>109</v>
      </c>
      <c r="P16" s="25" t="s">
        <v>119</v>
      </c>
    </row>
    <row r="17" spans="1:16" ht="12.75" customHeight="1" thickBot="1" x14ac:dyDescent="0.25">
      <c r="A17" s="13" t="str">
        <f t="shared" si="0"/>
        <v>IBVS 6029 </v>
      </c>
      <c r="B17" s="2" t="str">
        <f t="shared" si="1"/>
        <v>I</v>
      </c>
      <c r="C17" s="13">
        <f t="shared" si="2"/>
        <v>56045.758000000002</v>
      </c>
      <c r="D17" s="4" t="str">
        <f t="shared" si="3"/>
        <v>vis</v>
      </c>
      <c r="E17" s="21">
        <f>VLOOKUP(C17,Active!C$21:E$973,3,FALSE)</f>
        <v>7784.9412482280159</v>
      </c>
      <c r="F17" s="2" t="s">
        <v>61</v>
      </c>
      <c r="G17" s="4" t="str">
        <f t="shared" si="4"/>
        <v>56045.758</v>
      </c>
      <c r="H17" s="13">
        <f t="shared" si="5"/>
        <v>7785</v>
      </c>
      <c r="I17" s="22" t="s">
        <v>120</v>
      </c>
      <c r="J17" s="23" t="s">
        <v>121</v>
      </c>
      <c r="K17" s="22">
        <v>7785</v>
      </c>
      <c r="L17" s="22" t="s">
        <v>122</v>
      </c>
      <c r="M17" s="23" t="s">
        <v>80</v>
      </c>
      <c r="N17" s="23" t="s">
        <v>61</v>
      </c>
      <c r="O17" s="24" t="s">
        <v>109</v>
      </c>
      <c r="P17" s="25" t="s">
        <v>119</v>
      </c>
    </row>
    <row r="18" spans="1:16" ht="12.75" customHeight="1" thickBot="1" x14ac:dyDescent="0.25">
      <c r="A18" s="13" t="str">
        <f t="shared" si="0"/>
        <v>BAVM 238 </v>
      </c>
      <c r="B18" s="2" t="str">
        <f t="shared" si="1"/>
        <v>I</v>
      </c>
      <c r="C18" s="13">
        <f t="shared" si="2"/>
        <v>56730.606399999997</v>
      </c>
      <c r="D18" s="4" t="str">
        <f t="shared" si="3"/>
        <v>vis</v>
      </c>
      <c r="E18" s="21">
        <f>VLOOKUP(C18,Active!C$21:E$973,3,FALSE)</f>
        <v>8079.9378173261193</v>
      </c>
      <c r="F18" s="2" t="s">
        <v>61</v>
      </c>
      <c r="G18" s="4" t="str">
        <f t="shared" si="4"/>
        <v>56730.6064</v>
      </c>
      <c r="H18" s="13">
        <f t="shared" si="5"/>
        <v>8080</v>
      </c>
      <c r="I18" s="22" t="s">
        <v>123</v>
      </c>
      <c r="J18" s="23" t="s">
        <v>124</v>
      </c>
      <c r="K18" s="22">
        <v>8080</v>
      </c>
      <c r="L18" s="22" t="s">
        <v>125</v>
      </c>
      <c r="M18" s="23" t="s">
        <v>80</v>
      </c>
      <c r="N18" s="23">
        <v>0</v>
      </c>
      <c r="O18" s="24" t="s">
        <v>74</v>
      </c>
      <c r="P18" s="25" t="s">
        <v>126</v>
      </c>
    </row>
    <row r="19" spans="1:16" ht="12.75" customHeight="1" thickBot="1" x14ac:dyDescent="0.25">
      <c r="A19" s="13" t="str">
        <f t="shared" si="0"/>
        <v>BAVM 238 </v>
      </c>
      <c r="B19" s="2" t="str">
        <f t="shared" si="1"/>
        <v>I</v>
      </c>
      <c r="C19" s="13">
        <f t="shared" si="2"/>
        <v>56737.571300000003</v>
      </c>
      <c r="D19" s="4" t="str">
        <f t="shared" si="3"/>
        <v>vis</v>
      </c>
      <c r="E19" s="21">
        <f>VLOOKUP(C19,Active!C$21:E$973,3,FALSE)</f>
        <v>8082.9379288896616</v>
      </c>
      <c r="F19" s="2" t="s">
        <v>61</v>
      </c>
      <c r="G19" s="4" t="str">
        <f t="shared" si="4"/>
        <v>56737.5713</v>
      </c>
      <c r="H19" s="13">
        <f t="shared" si="5"/>
        <v>8083</v>
      </c>
      <c r="I19" s="22" t="s">
        <v>127</v>
      </c>
      <c r="J19" s="23" t="s">
        <v>128</v>
      </c>
      <c r="K19" s="22">
        <v>8083</v>
      </c>
      <c r="L19" s="22" t="s">
        <v>129</v>
      </c>
      <c r="M19" s="23" t="s">
        <v>80</v>
      </c>
      <c r="N19" s="23">
        <v>0</v>
      </c>
      <c r="O19" s="24" t="s">
        <v>74</v>
      </c>
      <c r="P19" s="25" t="s">
        <v>126</v>
      </c>
    </row>
    <row r="20" spans="1:16" ht="12.75" customHeight="1" thickBot="1" x14ac:dyDescent="0.25">
      <c r="A20" s="13" t="str">
        <f t="shared" si="0"/>
        <v>OEJV 0107 </v>
      </c>
      <c r="B20" s="2" t="str">
        <f t="shared" si="1"/>
        <v>I</v>
      </c>
      <c r="C20" s="13">
        <f t="shared" si="2"/>
        <v>54513.567000000003</v>
      </c>
      <c r="D20" s="4" t="str">
        <f t="shared" si="3"/>
        <v>vis</v>
      </c>
      <c r="E20" s="21" t="e">
        <f>VLOOKUP(C20,Active!C$21:E$973,3,FALSE)</f>
        <v>#N/A</v>
      </c>
      <c r="F20" s="2" t="s">
        <v>61</v>
      </c>
      <c r="G20" s="4" t="str">
        <f t="shared" si="4"/>
        <v>54513.5670</v>
      </c>
      <c r="H20" s="13">
        <f t="shared" si="5"/>
        <v>7125</v>
      </c>
      <c r="I20" s="22" t="s">
        <v>76</v>
      </c>
      <c r="J20" s="23" t="s">
        <v>77</v>
      </c>
      <c r="K20" s="22" t="s">
        <v>78</v>
      </c>
      <c r="L20" s="22" t="s">
        <v>79</v>
      </c>
      <c r="M20" s="23" t="s">
        <v>80</v>
      </c>
      <c r="N20" s="23" t="s">
        <v>81</v>
      </c>
      <c r="O20" s="24" t="s">
        <v>82</v>
      </c>
      <c r="P20" s="25" t="s">
        <v>83</v>
      </c>
    </row>
    <row r="21" spans="1:16" ht="12.75" customHeight="1" thickBot="1" x14ac:dyDescent="0.25">
      <c r="A21" s="13" t="str">
        <f t="shared" si="0"/>
        <v>OEJV 0137 </v>
      </c>
      <c r="B21" s="2" t="str">
        <f t="shared" si="1"/>
        <v>I</v>
      </c>
      <c r="C21" s="13">
        <f t="shared" si="2"/>
        <v>55256.442799999997</v>
      </c>
      <c r="D21" s="4" t="str">
        <f t="shared" si="3"/>
        <v>vis</v>
      </c>
      <c r="E21" s="21" t="e">
        <f>VLOOKUP(C21,Active!C$21:E$973,3,FALSE)</f>
        <v>#N/A</v>
      </c>
      <c r="F21" s="2" t="s">
        <v>61</v>
      </c>
      <c r="G21" s="4" t="str">
        <f t="shared" si="4"/>
        <v>55256.4428</v>
      </c>
      <c r="H21" s="13">
        <f t="shared" si="5"/>
        <v>7445</v>
      </c>
      <c r="I21" s="22" t="s">
        <v>89</v>
      </c>
      <c r="J21" s="23" t="s">
        <v>90</v>
      </c>
      <c r="K21" s="22" t="s">
        <v>91</v>
      </c>
      <c r="L21" s="22" t="s">
        <v>92</v>
      </c>
      <c r="M21" s="23" t="s">
        <v>80</v>
      </c>
      <c r="N21" s="23" t="s">
        <v>53</v>
      </c>
      <c r="O21" s="24" t="s">
        <v>93</v>
      </c>
      <c r="P21" s="25" t="s">
        <v>94</v>
      </c>
    </row>
    <row r="22" spans="1:16" ht="12.75" customHeight="1" thickBot="1" x14ac:dyDescent="0.25">
      <c r="A22" s="13" t="str">
        <f t="shared" si="0"/>
        <v>OEJV 0137 </v>
      </c>
      <c r="B22" s="2" t="str">
        <f t="shared" si="1"/>
        <v>I</v>
      </c>
      <c r="C22" s="13">
        <f t="shared" si="2"/>
        <v>55625.561800000003</v>
      </c>
      <c r="D22" s="4" t="str">
        <f t="shared" si="3"/>
        <v>vis</v>
      </c>
      <c r="E22" s="21" t="e">
        <f>VLOOKUP(C22,Active!C$21:E$973,3,FALSE)</f>
        <v>#N/A</v>
      </c>
      <c r="F22" s="2" t="s">
        <v>61</v>
      </c>
      <c r="G22" s="4" t="str">
        <f t="shared" si="4"/>
        <v>55625.5618</v>
      </c>
      <c r="H22" s="13">
        <f t="shared" si="5"/>
        <v>7604</v>
      </c>
      <c r="I22" s="22" t="s">
        <v>95</v>
      </c>
      <c r="J22" s="23" t="s">
        <v>96</v>
      </c>
      <c r="K22" s="22" t="s">
        <v>97</v>
      </c>
      <c r="L22" s="22" t="s">
        <v>98</v>
      </c>
      <c r="M22" s="23" t="s">
        <v>80</v>
      </c>
      <c r="N22" s="23" t="s">
        <v>61</v>
      </c>
      <c r="O22" s="24" t="s">
        <v>93</v>
      </c>
      <c r="P22" s="25" t="s">
        <v>94</v>
      </c>
    </row>
    <row r="23" spans="1:16" ht="12.75" customHeight="1" thickBot="1" x14ac:dyDescent="0.25">
      <c r="A23" s="13" t="str">
        <f t="shared" si="0"/>
        <v>OEJV 0137 </v>
      </c>
      <c r="B23" s="2" t="str">
        <f t="shared" si="1"/>
        <v>I</v>
      </c>
      <c r="C23" s="13">
        <f t="shared" si="2"/>
        <v>55625.561999999998</v>
      </c>
      <c r="D23" s="4" t="str">
        <f t="shared" si="3"/>
        <v>vis</v>
      </c>
      <c r="E23" s="21" t="e">
        <f>VLOOKUP(C23,Active!C$21:E$973,3,FALSE)</f>
        <v>#N/A</v>
      </c>
      <c r="F23" s="2" t="s">
        <v>61</v>
      </c>
      <c r="G23" s="4" t="str">
        <f t="shared" si="4"/>
        <v>55625.5620</v>
      </c>
      <c r="H23" s="13">
        <f t="shared" si="5"/>
        <v>7604</v>
      </c>
      <c r="I23" s="22" t="s">
        <v>99</v>
      </c>
      <c r="J23" s="23" t="s">
        <v>100</v>
      </c>
      <c r="K23" s="22" t="s">
        <v>97</v>
      </c>
      <c r="L23" s="22" t="s">
        <v>101</v>
      </c>
      <c r="M23" s="23" t="s">
        <v>80</v>
      </c>
      <c r="N23" s="23" t="s">
        <v>29</v>
      </c>
      <c r="O23" s="24" t="s">
        <v>93</v>
      </c>
      <c r="P23" s="25" t="s">
        <v>94</v>
      </c>
    </row>
    <row r="24" spans="1:16" ht="12.75" customHeight="1" thickBot="1" x14ac:dyDescent="0.25">
      <c r="A24" s="13" t="str">
        <f t="shared" si="0"/>
        <v>OEJV 0137 </v>
      </c>
      <c r="B24" s="2" t="str">
        <f t="shared" si="1"/>
        <v>I</v>
      </c>
      <c r="C24" s="13">
        <f t="shared" si="2"/>
        <v>55625.5625</v>
      </c>
      <c r="D24" s="4" t="str">
        <f t="shared" si="3"/>
        <v>vis</v>
      </c>
      <c r="E24" s="21" t="e">
        <f>VLOOKUP(C24,Active!C$21:E$973,3,FALSE)</f>
        <v>#N/A</v>
      </c>
      <c r="F24" s="2" t="s">
        <v>61</v>
      </c>
      <c r="G24" s="4" t="str">
        <f t="shared" si="4"/>
        <v>55625.5625</v>
      </c>
      <c r="H24" s="13">
        <f t="shared" si="5"/>
        <v>7604</v>
      </c>
      <c r="I24" s="22" t="s">
        <v>102</v>
      </c>
      <c r="J24" s="23" t="s">
        <v>103</v>
      </c>
      <c r="K24" s="22" t="s">
        <v>97</v>
      </c>
      <c r="L24" s="22" t="s">
        <v>104</v>
      </c>
      <c r="M24" s="23" t="s">
        <v>80</v>
      </c>
      <c r="N24" s="23" t="s">
        <v>81</v>
      </c>
      <c r="O24" s="24" t="s">
        <v>93</v>
      </c>
      <c r="P24" s="25" t="s">
        <v>94</v>
      </c>
    </row>
    <row r="25" spans="1:16" x14ac:dyDescent="0.2">
      <c r="B25" s="2"/>
      <c r="E25" s="21"/>
      <c r="F25" s="2"/>
    </row>
    <row r="26" spans="1:16" x14ac:dyDescent="0.2">
      <c r="B26" s="2"/>
      <c r="E26" s="21"/>
      <c r="F26" s="2"/>
    </row>
    <row r="27" spans="1:16" x14ac:dyDescent="0.2">
      <c r="B27" s="2"/>
      <c r="E27" s="21"/>
      <c r="F27" s="2"/>
    </row>
    <row r="28" spans="1:16" x14ac:dyDescent="0.2">
      <c r="B28" s="2"/>
      <c r="E28" s="21"/>
      <c r="F28" s="2"/>
    </row>
    <row r="29" spans="1:16" x14ac:dyDescent="0.2">
      <c r="B29" s="2"/>
      <c r="E29" s="21"/>
      <c r="F29" s="2"/>
    </row>
    <row r="30" spans="1:16" x14ac:dyDescent="0.2">
      <c r="B30" s="2"/>
      <c r="E30" s="21"/>
      <c r="F30" s="2"/>
    </row>
    <row r="31" spans="1:16" x14ac:dyDescent="0.2">
      <c r="B31" s="2"/>
      <c r="E31" s="21"/>
      <c r="F31" s="2"/>
    </row>
    <row r="32" spans="1:16" x14ac:dyDescent="0.2">
      <c r="B32" s="2"/>
      <c r="E32" s="21"/>
      <c r="F32" s="2"/>
    </row>
    <row r="33" spans="2:6" x14ac:dyDescent="0.2">
      <c r="B33" s="2"/>
      <c r="E33" s="21"/>
      <c r="F33" s="2"/>
    </row>
    <row r="34" spans="2:6" x14ac:dyDescent="0.2">
      <c r="B34" s="2"/>
      <c r="E34" s="21"/>
      <c r="F34" s="2"/>
    </row>
    <row r="35" spans="2:6" x14ac:dyDescent="0.2">
      <c r="B35" s="2"/>
      <c r="E35" s="21"/>
      <c r="F35" s="2"/>
    </row>
    <row r="36" spans="2:6" x14ac:dyDescent="0.2">
      <c r="B36" s="2"/>
      <c r="E36" s="21"/>
      <c r="F36" s="2"/>
    </row>
    <row r="37" spans="2:6" x14ac:dyDescent="0.2">
      <c r="B37" s="2"/>
      <c r="E37" s="21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</sheetData>
  <phoneticPr fontId="8" type="noConversion"/>
  <hyperlinks>
    <hyperlink ref="P11" r:id="rId1" display="http://www.konkoly.hu/cgi-bin/IBVS?5592"/>
    <hyperlink ref="P12" r:id="rId2" display="http://www.bav-astro.de/sfs/BAVM_link.php?BAVMnr=173"/>
    <hyperlink ref="P20" r:id="rId3" display="http://var.astro.cz/oejv/issues/oejv0107.pdf"/>
    <hyperlink ref="P13" r:id="rId4" display="http://www.bav-astro.de/sfs/BAVM_link.php?BAVMnr=209"/>
    <hyperlink ref="P21" r:id="rId5" display="http://var.astro.cz/oejv/issues/oejv0137.pdf"/>
    <hyperlink ref="P22" r:id="rId6" display="http://var.astro.cz/oejv/issues/oejv0137.pdf"/>
    <hyperlink ref="P23" r:id="rId7" display="http://var.astro.cz/oejv/issues/oejv0137.pdf"/>
    <hyperlink ref="P24" r:id="rId8" display="http://var.astro.cz/oejv/issues/oejv0137.pdf"/>
    <hyperlink ref="P14" r:id="rId9" display="http://www.konkoly.hu/cgi-bin/IBVS?5992"/>
    <hyperlink ref="P15" r:id="rId10" display="http://www.bav-astro.de/sfs/BAVM_link.php?BAVMnr=220"/>
    <hyperlink ref="P16" r:id="rId11" display="http://www.konkoly.hu/cgi-bin/IBVS?6029"/>
    <hyperlink ref="P17" r:id="rId12" display="http://www.konkoly.hu/cgi-bin/IBVS?6029"/>
    <hyperlink ref="P18" r:id="rId13" display="http://www.bav-astro.de/sfs/BAVM_link.php?BAVMnr=238"/>
    <hyperlink ref="P19" r:id="rId14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2024-03-09T03:24:21Z</dcterms:modified>
</cp:coreProperties>
</file>