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7111A5-9A97-4132-A38D-BFDE51BE4C8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3" sheetId="3" r:id="rId2"/>
    <sheet name="Active 4" sheetId="4" r:id="rId3"/>
    <sheet name="Graphs 4" sheetId="5" r:id="rId4"/>
  </sheets>
  <calcPr calcId="181029"/>
</workbook>
</file>

<file path=xl/calcChain.xml><?xml version="1.0" encoding="utf-8"?>
<calcChain xmlns="http://schemas.openxmlformats.org/spreadsheetml/2006/main">
  <c r="E30" i="4" l="1"/>
  <c r="F30" i="4" s="1"/>
  <c r="G30" i="4" s="1"/>
  <c r="Q30" i="4"/>
  <c r="E30" i="1"/>
  <c r="F30" i="1" s="1"/>
  <c r="G30" i="1" s="1"/>
  <c r="Q30" i="1"/>
  <c r="E30" i="3"/>
  <c r="F30" i="3"/>
  <c r="G30" i="3"/>
  <c r="Q30" i="3"/>
  <c r="D9" i="4"/>
  <c r="E9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F16" i="4"/>
  <c r="F17" i="4" s="1"/>
  <c r="C17" i="4"/>
  <c r="Q21" i="4"/>
  <c r="Q22" i="4"/>
  <c r="Q23" i="4"/>
  <c r="Q24" i="4"/>
  <c r="Q25" i="4"/>
  <c r="Q26" i="4"/>
  <c r="Q27" i="4"/>
  <c r="Q28" i="4"/>
  <c r="Q29" i="4"/>
  <c r="E24" i="3"/>
  <c r="F24" i="3"/>
  <c r="G24" i="3"/>
  <c r="E25" i="3"/>
  <c r="F25" i="3"/>
  <c r="E26" i="3"/>
  <c r="F26" i="3"/>
  <c r="G26" i="3"/>
  <c r="E27" i="3"/>
  <c r="F27" i="3"/>
  <c r="G27" i="3"/>
  <c r="E28" i="3"/>
  <c r="F28" i="3"/>
  <c r="G28" i="3"/>
  <c r="E29" i="3"/>
  <c r="F29" i="3"/>
  <c r="D9" i="3"/>
  <c r="E9" i="3"/>
  <c r="G25" i="3"/>
  <c r="K25" i="3"/>
  <c r="G29" i="3"/>
  <c r="E21" i="3"/>
  <c r="F21" i="3"/>
  <c r="G21" i="3"/>
  <c r="E22" i="3"/>
  <c r="F22" i="3"/>
  <c r="G22" i="3"/>
  <c r="E23" i="3"/>
  <c r="F23" i="3"/>
  <c r="G23" i="3"/>
  <c r="F16" i="3"/>
  <c r="F17" i="3" s="1"/>
  <c r="C17" i="3"/>
  <c r="Q21" i="3"/>
  <c r="Q22" i="3"/>
  <c r="K23" i="3"/>
  <c r="Q23" i="3"/>
  <c r="Q24" i="3"/>
  <c r="Q25" i="3"/>
  <c r="Q26" i="3"/>
  <c r="Q27" i="3"/>
  <c r="Q28" i="3"/>
  <c r="K29" i="3"/>
  <c r="Q29" i="3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Q22" i="1"/>
  <c r="Q23" i="1"/>
  <c r="Q24" i="1"/>
  <c r="Q25" i="1"/>
  <c r="Q26" i="1"/>
  <c r="Q27" i="1"/>
  <c r="Q28" i="1"/>
  <c r="Q29" i="1"/>
  <c r="E21" i="1"/>
  <c r="F21" i="1"/>
  <c r="G21" i="1"/>
  <c r="E9" i="1"/>
  <c r="D9" i="1"/>
  <c r="F16" i="1"/>
  <c r="F17" i="1" s="1"/>
  <c r="C17" i="1"/>
  <c r="Q21" i="1"/>
  <c r="K21" i="3"/>
  <c r="K28" i="3"/>
  <c r="H26" i="4"/>
  <c r="I24" i="1"/>
  <c r="K27" i="3"/>
  <c r="H25" i="4"/>
  <c r="H24" i="4"/>
  <c r="K30" i="3"/>
  <c r="I23" i="1"/>
  <c r="K26" i="3"/>
  <c r="H29" i="4"/>
  <c r="I27" i="1"/>
  <c r="H28" i="4"/>
  <c r="H23" i="4"/>
  <c r="I21" i="1"/>
  <c r="I26" i="1"/>
  <c r="H22" i="1"/>
  <c r="H22" i="4"/>
  <c r="K22" i="3"/>
  <c r="H27" i="4"/>
  <c r="H21" i="4"/>
  <c r="K24" i="3"/>
  <c r="I28" i="1"/>
  <c r="I29" i="1"/>
  <c r="I25" i="1"/>
  <c r="C11" i="1"/>
  <c r="C11" i="4"/>
  <c r="C11" i="3"/>
  <c r="C12" i="4"/>
  <c r="C12" i="3"/>
  <c r="C12" i="1"/>
  <c r="O30" i="4" l="1"/>
  <c r="S30" i="4" s="1"/>
  <c r="H30" i="4"/>
  <c r="O30" i="1"/>
  <c r="S30" i="1" s="1"/>
  <c r="I30" i="1"/>
  <c r="C16" i="1"/>
  <c r="D18" i="1" s="1"/>
  <c r="C16" i="3"/>
  <c r="D18" i="3" s="1"/>
  <c r="C16" i="4"/>
  <c r="D18" i="4" s="1"/>
  <c r="O21" i="3"/>
  <c r="S21" i="3" s="1"/>
  <c r="O26" i="3"/>
  <c r="S26" i="3" s="1"/>
  <c r="C15" i="3"/>
  <c r="O29" i="3"/>
  <c r="S29" i="3" s="1"/>
  <c r="O24" i="3"/>
  <c r="S24" i="3" s="1"/>
  <c r="O23" i="3"/>
  <c r="S23" i="3" s="1"/>
  <c r="O30" i="3"/>
  <c r="S30" i="3" s="1"/>
  <c r="O25" i="3"/>
  <c r="S25" i="3" s="1"/>
  <c r="O28" i="3"/>
  <c r="S28" i="3" s="1"/>
  <c r="O22" i="3"/>
  <c r="S22" i="3" s="1"/>
  <c r="O27" i="3"/>
  <c r="S27" i="3" s="1"/>
  <c r="O21" i="4"/>
  <c r="S21" i="4" s="1"/>
  <c r="O25" i="4"/>
  <c r="S25" i="4" s="1"/>
  <c r="O29" i="4"/>
  <c r="S29" i="4" s="1"/>
  <c r="O28" i="4"/>
  <c r="S28" i="4" s="1"/>
  <c r="O23" i="4"/>
  <c r="S23" i="4" s="1"/>
  <c r="O27" i="4"/>
  <c r="S27" i="4" s="1"/>
  <c r="C15" i="4"/>
  <c r="O26" i="4"/>
  <c r="S26" i="4" s="1"/>
  <c r="O22" i="4"/>
  <c r="S22" i="4" s="1"/>
  <c r="O24" i="4"/>
  <c r="S24" i="4" s="1"/>
  <c r="O29" i="1"/>
  <c r="S29" i="1" s="1"/>
  <c r="C15" i="1"/>
  <c r="O26" i="1"/>
  <c r="S26" i="1" s="1"/>
  <c r="O24" i="1"/>
  <c r="S24" i="1" s="1"/>
  <c r="O23" i="1"/>
  <c r="S23" i="1" s="1"/>
  <c r="O25" i="1"/>
  <c r="S25" i="1" s="1"/>
  <c r="O27" i="1"/>
  <c r="S27" i="1" s="1"/>
  <c r="O28" i="1"/>
  <c r="S28" i="1" s="1"/>
  <c r="O21" i="1"/>
  <c r="S21" i="1" s="1"/>
  <c r="O22" i="1"/>
  <c r="S22" i="1" s="1"/>
  <c r="S19" i="4" l="1"/>
  <c r="C18" i="3"/>
  <c r="F18" i="3"/>
  <c r="F19" i="3" s="1"/>
  <c r="S19" i="3"/>
  <c r="C18" i="4"/>
  <c r="F18" i="4"/>
  <c r="F19" i="4" s="1"/>
  <c r="C18" i="1"/>
  <c r="F18" i="1"/>
  <c r="F19" i="1" s="1"/>
  <c r="S19" i="1"/>
</calcChain>
</file>

<file path=xl/sharedStrings.xml><?xml version="1.0" encoding="utf-8"?>
<sst xmlns="http://schemas.openxmlformats.org/spreadsheetml/2006/main" count="202" uniqueCount="54">
  <si>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</si>
  <si>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</si>
  <si>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</si>
  <si>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</si>
  <si>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</si>
  <si>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</si>
  <si>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</si>
  <si>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</si>
  <si>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</si>
  <si>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</si>
  <si>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</si>
  <si>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</si>
  <si>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</si>
  <si>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</si>
  <si>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</si>
  <si>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</si>
  <si>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</si>
  <si>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</si>
  <si>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</si>
  <si>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</si>
  <si>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</si>
  <si>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</si>
  <si>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</si>
  <si>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</si>
  <si>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</si>
  <si>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</si>
  <si>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</si>
  <si>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</si>
  <si>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</si>
  <si>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</si>
  <si>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</si>
  <si>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</si>
  <si>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</si>
  <si>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</si>
  <si>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</si>
  <si>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</si>
  <si>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</si>
  <si>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</si>
  <si>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</si>
  <si>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</si>
  <si>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</si>
  <si>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</si>
  <si>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3452-0720</t>
  </si>
  <si>
    <t>IBVS 6114</t>
  </si>
  <si>
    <t>II</t>
  </si>
  <si>
    <t>I</t>
  </si>
  <si>
    <t>ToMcat</t>
  </si>
  <si>
    <t>E</t>
  </si>
  <si>
    <t>UMa</t>
  </si>
  <si>
    <t>RHN 2020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</si>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</sst>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3452-0720 -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7-436A-B72E-666203BD61F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2.3575999999593478E-2</c:v>
                </c:pt>
                <c:pt idx="2">
                  <c:v>4.4543999996676575E-2</c:v>
                </c:pt>
                <c:pt idx="3">
                  <c:v>-1.808000000892207E-3</c:v>
                </c:pt>
                <c:pt idx="4">
                  <c:v>0.10357199999998556</c:v>
                </c:pt>
                <c:pt idx="5">
                  <c:v>-4.4859999979962595E-3</c:v>
                </c:pt>
                <c:pt idx="6">
                  <c:v>0.1088240000026417</c:v>
                </c:pt>
                <c:pt idx="7">
                  <c:v>-6.8064000006415881E-2</c:v>
                </c:pt>
                <c:pt idx="8">
                  <c:v>5.2875999994284939E-2</c:v>
                </c:pt>
                <c:pt idx="9">
                  <c:v>-0.13650000000779983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7-436A-B72E-666203BD61F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7-436A-B72E-666203BD61F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17-436A-B72E-666203BD61F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17-436A-B72E-666203BD61F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17-436A-B72E-666203BD61F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17-436A-B72E-666203BD61F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5.7278158221013856E-2</c:v>
                </c:pt>
                <c:pt idx="1">
                  <c:v>5.7248693684515586E-2</c:v>
                </c:pt>
                <c:pt idx="2">
                  <c:v>5.7219229148017317E-2</c:v>
                </c:pt>
                <c:pt idx="3">
                  <c:v>7.2179107104534956E-3</c:v>
                </c:pt>
                <c:pt idx="4">
                  <c:v>7.2179107104534956E-3</c:v>
                </c:pt>
                <c:pt idx="5">
                  <c:v>6.8348717359759878E-3</c:v>
                </c:pt>
                <c:pt idx="6">
                  <c:v>6.8348717359759878E-3</c:v>
                </c:pt>
                <c:pt idx="7">
                  <c:v>-3.5661096479132418E-3</c:v>
                </c:pt>
                <c:pt idx="8">
                  <c:v>-3.5661096479132418E-3</c:v>
                </c:pt>
                <c:pt idx="9">
                  <c:v>-7.0185426670501219E-2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17-436A-B72E-666203BD61F7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849</c:v>
                </c:pt>
                <c:pt idx="4">
                  <c:v>849</c:v>
                </c:pt>
                <c:pt idx="5">
                  <c:v>855.5</c:v>
                </c:pt>
                <c:pt idx="6">
                  <c:v>855.5</c:v>
                </c:pt>
                <c:pt idx="7">
                  <c:v>1032</c:v>
                </c:pt>
                <c:pt idx="8">
                  <c:v>1032</c:v>
                </c:pt>
                <c:pt idx="9">
                  <c:v>2162.5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17-436A-B72E-666203BD6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801896"/>
        <c:axId val="1"/>
      </c:scatterChart>
      <c:valAx>
        <c:axId val="61580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80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3452-0720 -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3'!$D$21:$D$238</c:f>
                <c:numCache>
                  <c:formatCode>General</c:formatCode>
                  <c:ptCount val="21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3'!$D$21:$D$238</c:f>
                <c:numCache>
                  <c:formatCode>General</c:formatCode>
                  <c:ptCount val="21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8-4740-9264-BF78815F0EA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8-4740-9264-BF78815F0EA3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58-4740-9264-BF78815F0EA3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3'!$K$21:$K$998</c:f>
              <c:numCache>
                <c:formatCode>General</c:formatCode>
                <c:ptCount val="978"/>
                <c:pt idx="0">
                  <c:v>-1.7644999999902211E-2</c:v>
                </c:pt>
                <c:pt idx="1">
                  <c:v>0</c:v>
                </c:pt>
                <c:pt idx="2">
                  <c:v>-2.0780000006197952E-2</c:v>
                </c:pt>
                <c:pt idx="3">
                  <c:v>-8.6150000061024912E-3</c:v>
                </c:pt>
                <c:pt idx="4">
                  <c:v>-9.780000000318978E-3</c:v>
                </c:pt>
                <c:pt idx="5">
                  <c:v>-8.1449999997857958E-3</c:v>
                </c:pt>
                <c:pt idx="6">
                  <c:v>-1.3800000015180558E-3</c:v>
                </c:pt>
                <c:pt idx="7">
                  <c:v>-1.0830000006535556E-2</c:v>
                </c:pt>
                <c:pt idx="8">
                  <c:v>3.5649999990710057E-3</c:v>
                </c:pt>
                <c:pt idx="9">
                  <c:v>1.0849999962374568E-3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58-4740-9264-BF78815F0EA3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58-4740-9264-BF78815F0EA3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58-4740-9264-BF78815F0EA3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58-4740-9264-BF78815F0EA3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3'!$O$21:$O$998</c:f>
              <c:numCache>
                <c:formatCode>General</c:formatCode>
                <c:ptCount val="978"/>
                <c:pt idx="0">
                  <c:v>-1.2460369744223496E-2</c:v>
                </c:pt>
                <c:pt idx="1">
                  <c:v>-1.2457102095419791E-2</c:v>
                </c:pt>
                <c:pt idx="2">
                  <c:v>-1.2453471374526785E-2</c:v>
                </c:pt>
                <c:pt idx="3">
                  <c:v>-6.6700960640582374E-3</c:v>
                </c:pt>
                <c:pt idx="4">
                  <c:v>-6.6697329919689369E-3</c:v>
                </c:pt>
                <c:pt idx="5">
                  <c:v>-6.6258012691635696E-3</c:v>
                </c:pt>
                <c:pt idx="6">
                  <c:v>-6.6254381970742692E-3</c:v>
                </c:pt>
                <c:pt idx="7">
                  <c:v>-5.4229434373108294E-3</c:v>
                </c:pt>
                <c:pt idx="8">
                  <c:v>-5.4225803652215281E-3</c:v>
                </c:pt>
                <c:pt idx="9">
                  <c:v>2.2825355139148608E-3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58-4740-9264-BF78815F0EA3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7969.5</c:v>
                </c:pt>
                <c:pt idx="4">
                  <c:v>7970</c:v>
                </c:pt>
                <c:pt idx="5">
                  <c:v>8030.5</c:v>
                </c:pt>
                <c:pt idx="6">
                  <c:v>8031</c:v>
                </c:pt>
                <c:pt idx="7">
                  <c:v>9687</c:v>
                </c:pt>
                <c:pt idx="8">
                  <c:v>9687.5</c:v>
                </c:pt>
                <c:pt idx="9">
                  <c:v>20298.5</c:v>
                </c:pt>
              </c:numCache>
            </c:numRef>
          </c:xVal>
          <c:yVal>
            <c:numRef>
              <c:f>'Active 3'!$R$21:$R$998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58-4740-9264-BF78815F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35944"/>
        <c:axId val="1"/>
      </c:scatterChart>
      <c:valAx>
        <c:axId val="61353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53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3452-0720 -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4'!$D$21:$D$238</c:f>
                <c:numCache>
                  <c:formatCode>General</c:formatCode>
                  <c:ptCount val="21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4'!$D$21:$D$238</c:f>
                <c:numCache>
                  <c:formatCode>General</c:formatCode>
                  <c:ptCount val="21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4'!$H$21:$H$998</c:f>
              <c:numCache>
                <c:formatCode>General</c:formatCode>
                <c:ptCount val="978"/>
                <c:pt idx="0">
                  <c:v>-1.8243500002427027E-2</c:v>
                </c:pt>
                <c:pt idx="1">
                  <c:v>0</c:v>
                </c:pt>
                <c:pt idx="2">
                  <c:v>-2.011500000662636E-2</c:v>
                </c:pt>
                <c:pt idx="3">
                  <c:v>-1.3456500004394911E-2</c:v>
                </c:pt>
                <c:pt idx="4">
                  <c:v>-1.4555000001564622E-2</c:v>
                </c:pt>
                <c:pt idx="5">
                  <c:v>-4.8735000018496066E-3</c:v>
                </c:pt>
                <c:pt idx="6">
                  <c:v>1.9580000007408671E-3</c:v>
                </c:pt>
                <c:pt idx="7">
                  <c:v>-2.010000025620684E-4</c:v>
                </c:pt>
                <c:pt idx="8">
                  <c:v>1.4260499992815312E-2</c:v>
                </c:pt>
                <c:pt idx="9">
                  <c:v>3.8822999995318241E-2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4-46EA-ADD7-28E658E2E1F8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4-46EA-ADD7-28E658E2E1F8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4-46EA-ADD7-28E658E2E1F8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4-46EA-ADD7-28E658E2E1F8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4-46EA-ADD7-28E658E2E1F8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4-46EA-ADD7-28E658E2E1F8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plus>
            <c:minus>
              <c:numRef>
                <c:f>'Active 4'!$D$21:$D$998</c:f>
                <c:numCache>
                  <c:formatCode>General</c:formatCode>
                  <c:ptCount val="978"/>
                  <c:pt idx="0">
                    <c:v>5.2100000000000002E-3</c:v>
                  </c:pt>
                  <c:pt idx="1">
                    <c:v>2.7899999999999999E-3</c:v>
                  </c:pt>
                  <c:pt idx="2">
                    <c:v>2.5200000000000001E-3</c:v>
                  </c:pt>
                  <c:pt idx="3">
                    <c:v>1.6999999999999999E-3</c:v>
                  </c:pt>
                  <c:pt idx="4">
                    <c:v>2.5899999999999999E-3</c:v>
                  </c:pt>
                  <c:pt idx="5">
                    <c:v>1.7899999999999999E-3</c:v>
                  </c:pt>
                  <c:pt idx="6">
                    <c:v>1.99E-3</c:v>
                  </c:pt>
                  <c:pt idx="7">
                    <c:v>2.5699999999999998E-3</c:v>
                  </c:pt>
                  <c:pt idx="8">
                    <c:v>3.0599999999999998E-3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4-46EA-ADD7-28E658E2E1F8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4'!$O$21:$O$998</c:f>
              <c:numCache>
                <c:formatCode>General</c:formatCode>
                <c:ptCount val="978"/>
                <c:pt idx="0">
                  <c:v>-1.8314387755767995E-2</c:v>
                </c:pt>
                <c:pt idx="1">
                  <c:v>-1.8303932179868213E-2</c:v>
                </c:pt>
                <c:pt idx="2">
                  <c:v>-1.8292314873312898E-2</c:v>
                </c:pt>
                <c:pt idx="3">
                  <c:v>2.245100452041987E-4</c:v>
                </c:pt>
                <c:pt idx="4">
                  <c:v>2.2567177585973083E-4</c:v>
                </c:pt>
                <c:pt idx="5">
                  <c:v>3.662411851790455E-4</c:v>
                </c:pt>
                <c:pt idx="6">
                  <c:v>3.6740291583457763E-4</c:v>
                </c:pt>
                <c:pt idx="7">
                  <c:v>4.2173783082660732E-3</c:v>
                </c:pt>
                <c:pt idx="8">
                  <c:v>4.2185400389216053E-3</c:v>
                </c:pt>
                <c:pt idx="9">
                  <c:v>2.88878905091337E-2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4-46EA-ADD7-28E658E2E1F8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4'!$F$21:$F$998</c:f>
              <c:numCache>
                <c:formatCode>General</c:formatCode>
                <c:ptCount val="978"/>
                <c:pt idx="0">
                  <c:v>-4.5</c:v>
                </c:pt>
                <c:pt idx="1">
                  <c:v>0</c:v>
                </c:pt>
                <c:pt idx="2">
                  <c:v>5</c:v>
                </c:pt>
                <c:pt idx="3">
                  <c:v>7974.5</c:v>
                </c:pt>
                <c:pt idx="4">
                  <c:v>7975</c:v>
                </c:pt>
                <c:pt idx="5">
                  <c:v>8035.5</c:v>
                </c:pt>
                <c:pt idx="6">
                  <c:v>8036</c:v>
                </c:pt>
                <c:pt idx="7">
                  <c:v>9693</c:v>
                </c:pt>
                <c:pt idx="8">
                  <c:v>9693.5</c:v>
                </c:pt>
                <c:pt idx="9">
                  <c:v>20311</c:v>
                </c:pt>
              </c:numCache>
            </c:numRef>
          </c:xVal>
          <c:yVal>
            <c:numRef>
              <c:f>'Active 4'!$R$21:$R$998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94-46EA-ADD7-28E658E2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57264"/>
        <c:axId val="1"/>
      </c:scatterChart>
      <c:valAx>
        <c:axId val="72515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15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RMS Dev'n vs Period</a:t>
            </a:r>
          </a:p>
        </c:rich>
      </c:tx>
      <c:layout>
        <c:manualLayout>
          <c:xMode val="edge"/>
          <c:yMode val="edge"/>
          <c:x val="0.40261658426417629"/>
          <c:y val="3.139013452914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5821587014548"/>
          <c:y val="0.14573991031390135"/>
          <c:w val="0.84593083292465776"/>
          <c:h val="0.65470852017937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4'!$U$2:$U$200</c:f>
              <c:numCache>
                <c:formatCode>General</c:formatCode>
                <c:ptCount val="199"/>
                <c:pt idx="5">
                  <c:v>0.21295700000000001</c:v>
                </c:pt>
                <c:pt idx="6">
                  <c:v>0.21296999999999999</c:v>
                </c:pt>
                <c:pt idx="7">
                  <c:v>0.21302299999999999</c:v>
                </c:pt>
                <c:pt idx="8">
                  <c:v>0.21309</c:v>
                </c:pt>
                <c:pt idx="9">
                  <c:v>0.21315700000000001</c:v>
                </c:pt>
                <c:pt idx="10">
                  <c:v>0.21321000000000001</c:v>
                </c:pt>
                <c:pt idx="11">
                  <c:v>0.213223</c:v>
                </c:pt>
                <c:pt idx="12">
                  <c:v>0.21327699999999999</c:v>
                </c:pt>
                <c:pt idx="13">
                  <c:v>0.21340799999999999</c:v>
                </c:pt>
                <c:pt idx="14">
                  <c:v>0.21354400000000001</c:v>
                </c:pt>
              </c:numCache>
            </c:numRef>
          </c:xVal>
          <c:yVal>
            <c:numRef>
              <c:f>'Active 4'!$V$2:$V$200</c:f>
              <c:numCache>
                <c:formatCode>General</c:formatCode>
                <c:ptCount val="199"/>
                <c:pt idx="5">
                  <c:v>9.6417322863906856E-3</c:v>
                </c:pt>
                <c:pt idx="6">
                  <c:v>8.6618508022984694E-3</c:v>
                </c:pt>
                <c:pt idx="7">
                  <c:v>7.0318065517212709E-3</c:v>
                </c:pt>
                <c:pt idx="8">
                  <c:v>7.0930777043538484E-3</c:v>
                </c:pt>
                <c:pt idx="9">
                  <c:v>7.0318065517212709E-3</c:v>
                </c:pt>
                <c:pt idx="10">
                  <c:v>8.5351328274980241E-3</c:v>
                </c:pt>
                <c:pt idx="11">
                  <c:v>7.8901811582028254E-3</c:v>
                </c:pt>
                <c:pt idx="12">
                  <c:v>7.8497919467117646E-3</c:v>
                </c:pt>
                <c:pt idx="13">
                  <c:v>8.9563547530043149E-3</c:v>
                </c:pt>
                <c:pt idx="14">
                  <c:v>1.2398582315289222E-2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E-476F-8FB6-F87014E8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57624"/>
        <c:axId val="1"/>
      </c:scatterChart>
      <c:valAx>
        <c:axId val="725157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Period (days)</a:t>
                </a:r>
              </a:p>
            </c:rich>
          </c:tx>
          <c:layout>
            <c:manualLayout>
              <c:xMode val="edge"/>
              <c:yMode val="edge"/>
              <c:x val="0.47529100286882742"/>
              <c:y val="0.86098654708520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rms dev'n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40582959641255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1576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837239821766465"/>
          <c:y val="0.93497757847533636"/>
          <c:w val="8.2848837209302362E-2"/>
          <c:h val="4.93273542600897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2F7DD2-1E9F-C723-FBA4-6FA57289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47625</xdr:colOff>
      <xdr:row>18</xdr:row>
      <xdr:rowOff>66675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974B2677-9344-A21C-D728-5CD11AA94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200025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B1DA1921-DC0E-3F4F-7222-3DBAA7B74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457200</xdr:colOff>
      <xdr:row>26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59A56FF-8831-A952-9B78-8EA6F2260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s="35" customFormat="1" ht="12.95" customHeight="1" x14ac:dyDescent="0.2">
      <c r="A2" s="35" t="s">
        <v>24</v>
      </c>
      <c r="B2" s="35" t="s">
        <v>47</v>
      </c>
      <c r="C2" s="36"/>
      <c r="D2" s="36"/>
      <c r="E2" s="35" t="s">
        <v>48</v>
      </c>
    </row>
    <row r="3" spans="1:6" s="35" customFormat="1" ht="12.95" customHeight="1" thickBot="1" x14ac:dyDescent="0.25"/>
    <row r="4" spans="1:6" s="35" customFormat="1" ht="12.95" customHeight="1" thickTop="1" thickBot="1" x14ac:dyDescent="0.25">
      <c r="A4" s="37" t="s">
        <v>0</v>
      </c>
      <c r="C4" s="38" t="s">
        <v>40</v>
      </c>
      <c r="D4" s="39" t="s">
        <v>40</v>
      </c>
    </row>
    <row r="5" spans="1:6" s="35" customFormat="1" ht="12.95" customHeight="1" thickTop="1" x14ac:dyDescent="0.2">
      <c r="A5" s="40" t="s">
        <v>31</v>
      </c>
      <c r="C5" s="41">
        <v>-9.5</v>
      </c>
      <c r="D5" s="35" t="s">
        <v>32</v>
      </c>
    </row>
    <row r="6" spans="1:6" s="35" customFormat="1" ht="12.95" customHeight="1" x14ac:dyDescent="0.2">
      <c r="A6" s="37" t="s">
        <v>1</v>
      </c>
    </row>
    <row r="7" spans="1:6" s="35" customFormat="1" ht="12.95" customHeight="1" x14ac:dyDescent="0.2">
      <c r="A7" s="35" t="s">
        <v>2</v>
      </c>
      <c r="C7" s="64">
        <v>54574.401550000002</v>
      </c>
      <c r="D7" s="43" t="s">
        <v>43</v>
      </c>
    </row>
    <row r="8" spans="1:6" s="35" customFormat="1" ht="12.95" customHeight="1" x14ac:dyDescent="0.2">
      <c r="A8" s="35" t="s">
        <v>3</v>
      </c>
      <c r="C8" s="64">
        <v>2.0002520000000001</v>
      </c>
      <c r="D8" s="43" t="s">
        <v>46</v>
      </c>
    </row>
    <row r="9" spans="1:6" s="35" customFormat="1" ht="12.95" customHeight="1" x14ac:dyDescent="0.2">
      <c r="A9" s="44" t="s">
        <v>35</v>
      </c>
      <c r="C9" s="45">
        <v>21</v>
      </c>
      <c r="D9" s="46" t="str">
        <f>"F"&amp;C9</f>
        <v>F21</v>
      </c>
      <c r="E9" s="47" t="str">
        <f>"G"&amp;C9</f>
        <v>G21</v>
      </c>
    </row>
    <row r="10" spans="1:6" s="35" customFormat="1" ht="12.95" customHeight="1" thickBot="1" x14ac:dyDescent="0.25">
      <c r="C10" s="48" t="s">
        <v>20</v>
      </c>
      <c r="D10" s="48" t="s">
        <v>21</v>
      </c>
    </row>
    <row r="11" spans="1:6" s="35" customFormat="1" ht="12.95" customHeight="1" x14ac:dyDescent="0.2">
      <c r="A11" s="35" t="s">
        <v>15</v>
      </c>
      <c r="C11" s="47">
        <f ca="1">INTERCEPT(INDIRECT($E$9):G991,INDIRECT($D$9):F991)</f>
        <v>5.7248693684515586E-2</v>
      </c>
      <c r="D11" s="36"/>
    </row>
    <row r="12" spans="1:6" s="35" customFormat="1" ht="12.95" customHeight="1" x14ac:dyDescent="0.2">
      <c r="A12" s="35" t="s">
        <v>16</v>
      </c>
      <c r="C12" s="47">
        <f ca="1">SLOPE(INDIRECT($E$9):G991,INDIRECT($D$9):F991)</f>
        <v>-5.8929072996539563E-5</v>
      </c>
      <c r="D12" s="36"/>
    </row>
    <row r="13" spans="1:6" s="35" customFormat="1" ht="12.95" customHeight="1" x14ac:dyDescent="0.2">
      <c r="A13" s="35" t="s">
        <v>19</v>
      </c>
      <c r="C13" s="36" t="s">
        <v>13</v>
      </c>
    </row>
    <row r="14" spans="1:6" s="35" customFormat="1" ht="12.95" customHeight="1" x14ac:dyDescent="0.2"/>
    <row r="15" spans="1:6" s="35" customFormat="1" ht="12.95" customHeight="1" x14ac:dyDescent="0.2">
      <c r="A15" s="49" t="s">
        <v>17</v>
      </c>
      <c r="C15" s="50">
        <f ca="1">(C7+C11)+(C8+C12)*INT(MAX(F21:F3532))</f>
        <v>58898.876218037869</v>
      </c>
      <c r="E15" s="51" t="s">
        <v>37</v>
      </c>
      <c r="F15" s="41">
        <v>1</v>
      </c>
    </row>
    <row r="16" spans="1:6" s="35" customFormat="1" ht="12.95" customHeight="1" x14ac:dyDescent="0.2">
      <c r="A16" s="37" t="s">
        <v>4</v>
      </c>
      <c r="C16" s="52">
        <f ca="1">+C8+C12</f>
        <v>2.0001930709270037</v>
      </c>
      <c r="E16" s="51" t="s">
        <v>33</v>
      </c>
      <c r="F16" s="53">
        <f ca="1">NOW()+15018.5+$C$5/24</f>
        <v>60378.692699189814</v>
      </c>
    </row>
    <row r="17" spans="1:19" s="35" customFormat="1" ht="12.95" customHeight="1" thickBot="1" x14ac:dyDescent="0.25">
      <c r="A17" s="51" t="s">
        <v>30</v>
      </c>
      <c r="C17" s="35">
        <f>COUNT(C21:C2190)</f>
        <v>10</v>
      </c>
      <c r="E17" s="51" t="s">
        <v>38</v>
      </c>
      <c r="F17" s="53">
        <f ca="1">ROUND(2*(F16-$C$7)/$C$8,0)/2+F15</f>
        <v>2903</v>
      </c>
    </row>
    <row r="18" spans="1:19" s="35" customFormat="1" ht="12.95" customHeight="1" thickTop="1" thickBot="1" x14ac:dyDescent="0.25">
      <c r="A18" s="37" t="s">
        <v>5</v>
      </c>
      <c r="C18" s="54">
        <f ca="1">+C15</f>
        <v>58898.876218037869</v>
      </c>
      <c r="D18" s="55">
        <f ca="1">+C16</f>
        <v>2.0001930709270037</v>
      </c>
      <c r="E18" s="51" t="s">
        <v>39</v>
      </c>
      <c r="F18" s="47">
        <f ca="1">ROUND(2*(F16-$C$15)/$C$16,0)/2+F15</f>
        <v>741</v>
      </c>
    </row>
    <row r="19" spans="1:19" s="35" customFormat="1" ht="12.95" customHeight="1" thickTop="1" x14ac:dyDescent="0.2">
      <c r="E19" s="51" t="s">
        <v>34</v>
      </c>
      <c r="F19" s="56">
        <f ca="1">+$C$15+$C$16*F18-15018.5-$C$5/24</f>
        <v>45362.915116928118</v>
      </c>
      <c r="S19" s="35">
        <f ca="1">SQRT(SUM(S21:S29)/(COUNT(S21:S29)-1))</f>
        <v>6.3062589386813986E-2</v>
      </c>
    </row>
    <row r="20" spans="1:19" s="35" customFormat="1" ht="12.95" customHeight="1" thickBot="1" x14ac:dyDescent="0.25">
      <c r="A20" s="48" t="s">
        <v>6</v>
      </c>
      <c r="B20" s="48" t="s">
        <v>7</v>
      </c>
      <c r="C20" s="48" t="s">
        <v>8</v>
      </c>
      <c r="D20" s="48" t="s">
        <v>12</v>
      </c>
      <c r="E20" s="48" t="s">
        <v>9</v>
      </c>
      <c r="F20" s="48" t="s">
        <v>10</v>
      </c>
      <c r="G20" s="48" t="s">
        <v>11</v>
      </c>
      <c r="H20" s="57" t="s">
        <v>29</v>
      </c>
      <c r="I20" s="57" t="s">
        <v>53</v>
      </c>
      <c r="J20" s="57" t="s">
        <v>18</v>
      </c>
      <c r="K20" s="57" t="s">
        <v>25</v>
      </c>
      <c r="L20" s="57" t="s">
        <v>26</v>
      </c>
      <c r="M20" s="57" t="s">
        <v>27</v>
      </c>
      <c r="N20" s="57" t="s">
        <v>28</v>
      </c>
      <c r="O20" s="57" t="s">
        <v>23</v>
      </c>
      <c r="P20" s="58" t="s">
        <v>22</v>
      </c>
      <c r="Q20" s="48" t="s">
        <v>14</v>
      </c>
      <c r="R20" s="59" t="s">
        <v>36</v>
      </c>
    </row>
    <row r="21" spans="1:19" s="35" customFormat="1" ht="12.95" customHeight="1" x14ac:dyDescent="0.2">
      <c r="A21" s="60" t="s">
        <v>43</v>
      </c>
      <c r="B21" s="61" t="s">
        <v>44</v>
      </c>
      <c r="C21" s="60">
        <v>54573.425000000003</v>
      </c>
      <c r="D21" s="60">
        <v>5.2100000000000002E-3</v>
      </c>
      <c r="E21" s="35">
        <f>+(C21-C$7)/C$8</f>
        <v>-0.48821348510058044</v>
      </c>
      <c r="F21" s="62">
        <f>ROUND(2*E21,0)/2</f>
        <v>-0.5</v>
      </c>
      <c r="G21" s="35">
        <f>+C21-(C$7+F21*C$8)</f>
        <v>2.3575999999593478E-2</v>
      </c>
      <c r="I21" s="35">
        <f>+G21</f>
        <v>2.3575999999593478E-2</v>
      </c>
      <c r="O21" s="35">
        <f ca="1">+C$11+C$12*$F21</f>
        <v>5.7278158221013856E-2</v>
      </c>
      <c r="Q21" s="63">
        <f>+C21-15018.5</f>
        <v>39554.925000000003</v>
      </c>
      <c r="S21" s="35">
        <f ca="1">+(G21-O21)^2</f>
        <v>1.1358354687816532E-3</v>
      </c>
    </row>
    <row r="22" spans="1:19" s="35" customFormat="1" ht="12.95" customHeight="1" x14ac:dyDescent="0.2">
      <c r="A22" s="60" t="s">
        <v>43</v>
      </c>
      <c r="B22" s="61" t="s">
        <v>45</v>
      </c>
      <c r="C22" s="60">
        <v>54574.401550000002</v>
      </c>
      <c r="D22" s="60">
        <v>2.7899999999999999E-3</v>
      </c>
      <c r="E22" s="35">
        <f t="shared" ref="E22:E29" si="0">+(C22-C$7)/C$8</f>
        <v>0</v>
      </c>
      <c r="F22" s="62">
        <f t="shared" ref="F22:F29" si="1">ROUND(2*E22,0)/2</f>
        <v>0</v>
      </c>
      <c r="G22" s="35">
        <f t="shared" ref="G22:G29" si="2">+C22-(C$7+F22*C$8)</f>
        <v>0</v>
      </c>
      <c r="H22" s="35">
        <f t="shared" ref="H22:H29" si="3">+G22</f>
        <v>0</v>
      </c>
      <c r="O22" s="35">
        <f t="shared" ref="O22:O29" ca="1" si="4">+C$11+C$12*$F22</f>
        <v>5.7248693684515586E-2</v>
      </c>
      <c r="Q22" s="63">
        <f t="shared" ref="Q22:Q29" si="5">+C22-15018.5</f>
        <v>39555.901550000002</v>
      </c>
      <c r="S22" s="35">
        <f t="shared" ref="S22:S29" ca="1" si="6">+(G22-O22)^2</f>
        <v>3.2774129285834948E-3</v>
      </c>
    </row>
    <row r="23" spans="1:19" s="35" customFormat="1" ht="12.95" customHeight="1" x14ac:dyDescent="0.2">
      <c r="A23" s="60" t="s">
        <v>43</v>
      </c>
      <c r="B23" s="61" t="s">
        <v>45</v>
      </c>
      <c r="C23" s="60">
        <v>54575.446219999998</v>
      </c>
      <c r="D23" s="60">
        <v>2.5200000000000001E-3</v>
      </c>
      <c r="E23" s="35">
        <f t="shared" si="0"/>
        <v>0.5222691940793841</v>
      </c>
      <c r="F23" s="62">
        <f t="shared" si="1"/>
        <v>0.5</v>
      </c>
      <c r="G23" s="35">
        <f t="shared" si="2"/>
        <v>4.4543999996676575E-2</v>
      </c>
      <c r="I23" s="35">
        <f>+G23</f>
        <v>4.4543999996676575E-2</v>
      </c>
      <c r="O23" s="35">
        <f t="shared" ca="1" si="4"/>
        <v>5.7219229148017317E-2</v>
      </c>
      <c r="Q23" s="63">
        <f t="shared" si="5"/>
        <v>39556.946219999998</v>
      </c>
      <c r="S23" s="35">
        <f t="shared" ca="1" si="6"/>
        <v>1.6066143403899814E-4</v>
      </c>
    </row>
    <row r="24" spans="1:19" s="35" customFormat="1" ht="12.95" customHeight="1" x14ac:dyDescent="0.2">
      <c r="A24" s="60" t="s">
        <v>43</v>
      </c>
      <c r="B24" s="61" t="s">
        <v>45</v>
      </c>
      <c r="C24" s="60">
        <v>56272.613689999998</v>
      </c>
      <c r="D24" s="60">
        <v>1.6999999999999999E-3</v>
      </c>
      <c r="E24" s="35">
        <f t="shared" si="0"/>
        <v>848.99909611388762</v>
      </c>
      <c r="F24" s="62">
        <f t="shared" si="1"/>
        <v>849</v>
      </c>
      <c r="G24" s="35">
        <f t="shared" si="2"/>
        <v>-1.808000000892207E-3</v>
      </c>
      <c r="I24" s="35">
        <f>+G24</f>
        <v>-1.808000000892207E-3</v>
      </c>
      <c r="O24" s="35">
        <f t="shared" ca="1" si="4"/>
        <v>7.2179107104534956E-3</v>
      </c>
      <c r="Q24" s="63">
        <f t="shared" si="5"/>
        <v>41254.113689999998</v>
      </c>
      <c r="S24" s="35">
        <f t="shared" ca="1" si="6"/>
        <v>8.1467064169185086E-5</v>
      </c>
    </row>
    <row r="25" spans="1:19" s="35" customFormat="1" ht="12.95" customHeight="1" x14ac:dyDescent="0.2">
      <c r="A25" s="60" t="s">
        <v>43</v>
      </c>
      <c r="B25" s="61" t="s">
        <v>44</v>
      </c>
      <c r="C25" s="60">
        <v>56272.719069999999</v>
      </c>
      <c r="D25" s="60">
        <v>2.5899999999999999E-3</v>
      </c>
      <c r="E25" s="35">
        <f t="shared" si="0"/>
        <v>849.05177947578443</v>
      </c>
      <c r="F25" s="62">
        <f t="shared" si="1"/>
        <v>849</v>
      </c>
      <c r="G25" s="35">
        <f t="shared" si="2"/>
        <v>0.10357199999998556</v>
      </c>
      <c r="I25" s="35">
        <f>+G25</f>
        <v>0.10357199999998556</v>
      </c>
      <c r="O25" s="35">
        <f t="shared" ca="1" si="4"/>
        <v>7.2179107104534956E-3</v>
      </c>
      <c r="Q25" s="63">
        <f t="shared" si="5"/>
        <v>41254.219069999999</v>
      </c>
      <c r="S25" s="35">
        <f t="shared" ca="1" si="6"/>
        <v>9.2841105228151193E-3</v>
      </c>
    </row>
    <row r="26" spans="1:19" s="35" customFormat="1" ht="12.95" customHeight="1" x14ac:dyDescent="0.2">
      <c r="A26" s="60" t="s">
        <v>43</v>
      </c>
      <c r="B26" s="61" t="s">
        <v>45</v>
      </c>
      <c r="C26" s="60">
        <v>56285.612650000003</v>
      </c>
      <c r="D26" s="60">
        <v>1.7899999999999999E-3</v>
      </c>
      <c r="E26" s="35">
        <f t="shared" si="0"/>
        <v>855.4977572825826</v>
      </c>
      <c r="F26" s="62">
        <f t="shared" si="1"/>
        <v>855.5</v>
      </c>
      <c r="G26" s="35">
        <f t="shared" si="2"/>
        <v>-4.4859999979962595E-3</v>
      </c>
      <c r="I26" s="35">
        <f>+G26</f>
        <v>-4.4859999979962595E-3</v>
      </c>
      <c r="O26" s="35">
        <f t="shared" ca="1" si="4"/>
        <v>6.8348717359759878E-3</v>
      </c>
      <c r="Q26" s="63">
        <f t="shared" si="5"/>
        <v>41267.112650000003</v>
      </c>
      <c r="S26" s="35">
        <f t="shared" ca="1" si="6"/>
        <v>1.281621368170518E-4</v>
      </c>
    </row>
    <row r="27" spans="1:19" s="35" customFormat="1" ht="12.95" customHeight="1" x14ac:dyDescent="0.2">
      <c r="A27" s="60" t="s">
        <v>43</v>
      </c>
      <c r="B27" s="61" t="s">
        <v>44</v>
      </c>
      <c r="C27" s="60">
        <v>56285.725960000003</v>
      </c>
      <c r="D27" s="60">
        <v>1.99E-3</v>
      </c>
      <c r="E27" s="35">
        <f t="shared" si="0"/>
        <v>855.55440514495217</v>
      </c>
      <c r="F27" s="62">
        <f t="shared" si="1"/>
        <v>855.5</v>
      </c>
      <c r="G27" s="35">
        <f t="shared" si="2"/>
        <v>0.1088240000026417</v>
      </c>
      <c r="I27" s="35">
        <f>+G27</f>
        <v>0.1088240000026417</v>
      </c>
      <c r="O27" s="35">
        <f t="shared" ca="1" si="4"/>
        <v>6.8348717359759878E-3</v>
      </c>
      <c r="Q27" s="63">
        <f t="shared" si="5"/>
        <v>41267.225960000003</v>
      </c>
      <c r="S27" s="35">
        <f t="shared" ca="1" si="6"/>
        <v>1.0401782284594388E-2</v>
      </c>
    </row>
    <row r="28" spans="1:19" s="35" customFormat="1" ht="12.95" customHeight="1" x14ac:dyDescent="0.2">
      <c r="A28" s="60" t="s">
        <v>43</v>
      </c>
      <c r="B28" s="61" t="s">
        <v>45</v>
      </c>
      <c r="C28" s="60">
        <v>56638.593549999998</v>
      </c>
      <c r="D28" s="60">
        <v>2.5699999999999998E-3</v>
      </c>
      <c r="E28" s="35">
        <f t="shared" si="0"/>
        <v>1031.9659722874894</v>
      </c>
      <c r="F28" s="62">
        <f t="shared" si="1"/>
        <v>1032</v>
      </c>
      <c r="G28" s="35">
        <f t="shared" si="2"/>
        <v>-6.8064000006415881E-2</v>
      </c>
      <c r="I28" s="35">
        <f>+G28</f>
        <v>-6.8064000006415881E-2</v>
      </c>
      <c r="O28" s="35">
        <f t="shared" ca="1" si="4"/>
        <v>-3.5661096479132418E-3</v>
      </c>
      <c r="Q28" s="63">
        <f t="shared" si="5"/>
        <v>41620.093549999998</v>
      </c>
      <c r="S28" s="35">
        <f t="shared" ca="1" si="6"/>
        <v>4.1599778606974287E-3</v>
      </c>
    </row>
    <row r="29" spans="1:19" s="35" customFormat="1" ht="12.95" customHeight="1" x14ac:dyDescent="0.2">
      <c r="A29" s="60" t="s">
        <v>43</v>
      </c>
      <c r="B29" s="61" t="s">
        <v>44</v>
      </c>
      <c r="C29" s="60">
        <v>56638.714489999998</v>
      </c>
      <c r="D29" s="60">
        <v>3.0599999999999998E-3</v>
      </c>
      <c r="E29" s="35">
        <f t="shared" si="0"/>
        <v>1032.0264346692297</v>
      </c>
      <c r="F29" s="62">
        <f t="shared" si="1"/>
        <v>1032</v>
      </c>
      <c r="G29" s="35">
        <f t="shared" si="2"/>
        <v>5.2875999994284939E-2</v>
      </c>
      <c r="I29" s="35">
        <f>+G29</f>
        <v>5.2875999994284939E-2</v>
      </c>
      <c r="O29" s="35">
        <f t="shared" ca="1" si="4"/>
        <v>-3.5661096479132418E-3</v>
      </c>
      <c r="Q29" s="63">
        <f t="shared" si="5"/>
        <v>41620.214489999998</v>
      </c>
      <c r="S29" s="35">
        <f t="shared" ca="1" si="6"/>
        <v>3.1857117408619208E-3</v>
      </c>
    </row>
    <row r="30" spans="1:19" s="35" customFormat="1" ht="12.95" customHeight="1" x14ac:dyDescent="0.2">
      <c r="A30" s="33" t="s">
        <v>49</v>
      </c>
      <c r="B30" s="61" t="s">
        <v>44</v>
      </c>
      <c r="C30" s="8">
        <v>58899.81</v>
      </c>
      <c r="D30" s="8">
        <v>1E-3</v>
      </c>
      <c r="E30" s="35">
        <f t="shared" ref="E30" si="7">+(C30-C$7)/C$8</f>
        <v>2162.431758598414</v>
      </c>
      <c r="F30" s="62">
        <f t="shared" ref="F30" si="8">ROUND(2*E30,0)/2</f>
        <v>2162.5</v>
      </c>
      <c r="G30" s="35">
        <f t="shared" ref="G30" si="9">+C30-(C$7+F30*C$8)</f>
        <v>-0.13650000000779983</v>
      </c>
      <c r="I30" s="35">
        <f>+G30</f>
        <v>-0.13650000000779983</v>
      </c>
      <c r="O30" s="35">
        <f t="shared" ref="O30" ca="1" si="10">+C$11+C$12*$F30</f>
        <v>-7.0185426670501219E-2</v>
      </c>
      <c r="Q30" s="63">
        <f t="shared" ref="Q30" si="11">+C30-15018.5</f>
        <v>43881.31</v>
      </c>
      <c r="S30" s="35">
        <f t="shared" ref="S30" ca="1" si="12">+(G30-O30)^2</f>
        <v>4.3976226369079555E-3</v>
      </c>
    </row>
    <row r="31" spans="1:19" s="35" customFormat="1" ht="12.95" customHeight="1" x14ac:dyDescent="0.2">
      <c r="C31" s="42"/>
      <c r="D31" s="42"/>
      <c r="Q31" s="63"/>
    </row>
    <row r="32" spans="1:19" s="35" customFormat="1" ht="12.95" customHeight="1" x14ac:dyDescent="0.2">
      <c r="C32" s="42"/>
      <c r="D32" s="42"/>
      <c r="Q32" s="63"/>
    </row>
    <row r="33" spans="3:4" s="35" customFormat="1" ht="12.95" customHeight="1" x14ac:dyDescent="0.2">
      <c r="C33" s="42"/>
      <c r="D33" s="42"/>
    </row>
    <row r="34" spans="3:4" s="35" customFormat="1" ht="12.95" customHeight="1" x14ac:dyDescent="0.2">
      <c r="C34" s="42"/>
      <c r="D34" s="42"/>
    </row>
    <row r="35" spans="3:4" s="35" customFormat="1" ht="12.95" customHeight="1" x14ac:dyDescent="0.2">
      <c r="C35" s="42"/>
      <c r="D35" s="42"/>
    </row>
    <row r="36" spans="3:4" s="35" customFormat="1" ht="12.95" customHeight="1" x14ac:dyDescent="0.2">
      <c r="C36" s="42"/>
      <c r="D36" s="42"/>
    </row>
    <row r="37" spans="3:4" s="35" customFormat="1" ht="12.95" customHeight="1" x14ac:dyDescent="0.2">
      <c r="C37" s="42"/>
      <c r="D37" s="42"/>
    </row>
    <row r="38" spans="3:4" s="35" customFormat="1" ht="12.95" customHeight="1" x14ac:dyDescent="0.2">
      <c r="C38" s="42"/>
      <c r="D38" s="42"/>
    </row>
    <row r="39" spans="3:4" s="35" customFormat="1" ht="12.95" customHeight="1" x14ac:dyDescent="0.2">
      <c r="C39" s="42"/>
      <c r="D39" s="42"/>
    </row>
    <row r="40" spans="3:4" s="35" customFormat="1" ht="12.95" customHeight="1" x14ac:dyDescent="0.2">
      <c r="C40" s="42"/>
      <c r="D40" s="42"/>
    </row>
    <row r="41" spans="3:4" s="35" customFormat="1" ht="12.95" customHeight="1" x14ac:dyDescent="0.2">
      <c r="C41" s="42"/>
      <c r="D41" s="42"/>
    </row>
    <row r="42" spans="3:4" s="35" customFormat="1" ht="12.95" customHeight="1" x14ac:dyDescent="0.2">
      <c r="C42" s="42"/>
      <c r="D42" s="42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workbookViewId="0">
      <selection activeCell="H38" sqref="H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24</v>
      </c>
      <c r="B2" t="s">
        <v>47</v>
      </c>
      <c r="C2" s="3"/>
      <c r="D2" s="3"/>
      <c r="E2" t="s">
        <v>48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7" t="s">
        <v>40</v>
      </c>
      <c r="D4" s="28" t="s">
        <v>40</v>
      </c>
    </row>
    <row r="5" spans="1:6" ht="12.95" customHeight="1" thickTop="1" x14ac:dyDescent="0.2">
      <c r="A5" s="9" t="s">
        <v>31</v>
      </c>
      <c r="B5" s="10"/>
      <c r="C5" s="11">
        <v>-9.5</v>
      </c>
      <c r="D5" s="10" t="s">
        <v>32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4">
        <v>54574.401550000002</v>
      </c>
      <c r="D7" s="29" t="s">
        <v>43</v>
      </c>
    </row>
    <row r="8" spans="1:6" ht="12.95" customHeight="1" x14ac:dyDescent="0.2">
      <c r="A8" t="s">
        <v>3</v>
      </c>
      <c r="C8" s="34">
        <v>0.21309</v>
      </c>
      <c r="D8" s="29" t="s">
        <v>46</v>
      </c>
    </row>
    <row r="9" spans="1:6" ht="12.95" customHeight="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.95" customHeight="1" x14ac:dyDescent="0.2">
      <c r="A11" s="10" t="s">
        <v>15</v>
      </c>
      <c r="B11" s="10"/>
      <c r="C11" s="21">
        <f ca="1">INTERCEPT(INDIRECT($E$9):G991,INDIRECT($D$9):F991)</f>
        <v>-1.2457102095419791E-2</v>
      </c>
      <c r="D11" s="3"/>
      <c r="E11" s="10"/>
    </row>
    <row r="12" spans="1:6" ht="12.95" customHeight="1" x14ac:dyDescent="0.2">
      <c r="A12" s="10" t="s">
        <v>16</v>
      </c>
      <c r="B12" s="10"/>
      <c r="C12" s="21">
        <f ca="1">SLOPE(INDIRECT($E$9):G991,INDIRECT($D$9):F991)</f>
        <v>7.2614417860111099E-7</v>
      </c>
      <c r="D12" s="3"/>
      <c r="E12" s="10"/>
    </row>
    <row r="13" spans="1:6" ht="12.95" customHeight="1" x14ac:dyDescent="0.2">
      <c r="A13" s="10" t="s">
        <v>19</v>
      </c>
      <c r="B13" s="10"/>
      <c r="C13" s="3" t="s">
        <v>13</v>
      </c>
    </row>
    <row r="14" spans="1:6" ht="12.95" customHeight="1" x14ac:dyDescent="0.2">
      <c r="A14" s="10"/>
      <c r="B14" s="10"/>
      <c r="C14" s="10"/>
    </row>
    <row r="15" spans="1:6" ht="12.95" customHeight="1" x14ac:dyDescent="0.2">
      <c r="A15" s="12" t="s">
        <v>17</v>
      </c>
      <c r="B15" s="10"/>
      <c r="C15" s="13">
        <f ca="1">(C7+C11)+(C8+C12)*INT(MAX(F21:F3532))</f>
        <v>58899.704652172448</v>
      </c>
      <c r="E15" s="14" t="s">
        <v>37</v>
      </c>
      <c r="F15" s="11">
        <v>1</v>
      </c>
    </row>
    <row r="16" spans="1:6" ht="12.95" customHeight="1" x14ac:dyDescent="0.2">
      <c r="A16" s="16" t="s">
        <v>4</v>
      </c>
      <c r="B16" s="10"/>
      <c r="C16" s="17">
        <f ca="1">+C8+C12</f>
        <v>0.21309072614417859</v>
      </c>
      <c r="E16" s="14" t="s">
        <v>33</v>
      </c>
      <c r="F16" s="15">
        <f ca="1">NOW()+15018.5+$C$5/24</f>
        <v>60378.692699189814</v>
      </c>
    </row>
    <row r="17" spans="1:19" ht="12.95" customHeight="1" thickBot="1" x14ac:dyDescent="0.25">
      <c r="A17" s="14" t="s">
        <v>30</v>
      </c>
      <c r="B17" s="10"/>
      <c r="C17" s="10">
        <f>COUNT(C21:C2190)</f>
        <v>10</v>
      </c>
      <c r="E17" s="14" t="s">
        <v>38</v>
      </c>
      <c r="F17" s="15">
        <f ca="1">ROUND(2*(F16-$C$7)/$C$8,0)/2+F15</f>
        <v>27239.5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58899.704652172448</v>
      </c>
      <c r="D18" s="20">
        <f ca="1">+C16</f>
        <v>0.21309072614417859</v>
      </c>
      <c r="E18" s="14" t="s">
        <v>39</v>
      </c>
      <c r="F18" s="23">
        <f ca="1">ROUND(2*(F16-$C$15)/$C$16,0)/2+F15</f>
        <v>6941.5</v>
      </c>
    </row>
    <row r="19" spans="1:19" ht="12.95" customHeight="1" thickTop="1" x14ac:dyDescent="0.2">
      <c r="E19" s="14" t="s">
        <v>34</v>
      </c>
      <c r="F19" s="18">
        <f ca="1">+$C$15+$C$16*F18-15018.5-$C$5/24</f>
        <v>45360.769761035597</v>
      </c>
      <c r="S19">
        <f ca="1">SQRT(SUM(S21:S29)/(COUNT(S21:S29)-1))</f>
        <v>7.1123371946111898E-3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9" ht="12.95" customHeight="1" x14ac:dyDescent="0.2">
      <c r="A21" s="31" t="s">
        <v>43</v>
      </c>
      <c r="B21" s="32" t="s">
        <v>44</v>
      </c>
      <c r="C21" s="31">
        <v>54573.425000000003</v>
      </c>
      <c r="D21" s="31">
        <v>5.2100000000000002E-3</v>
      </c>
      <c r="E21">
        <f t="shared" ref="E21:E29" si="0">+(C21-C$7)/C$8</f>
        <v>-4.5828053873922112</v>
      </c>
      <c r="F21" s="30">
        <f>ROUND(2*E21,0)/2</f>
        <v>-4.5</v>
      </c>
      <c r="G21">
        <f t="shared" ref="G21:G29" si="1">+C21-(C$7+F21*C$8)</f>
        <v>-1.7644999999902211E-2</v>
      </c>
      <c r="K21">
        <f t="shared" ref="K21:K30" si="2">+G21</f>
        <v>-1.7644999999902211E-2</v>
      </c>
      <c r="O21">
        <f t="shared" ref="O21:O29" ca="1" si="3">+C$11+C$12*$F21</f>
        <v>-1.2460369744223496E-2</v>
      </c>
      <c r="Q21" s="2">
        <f t="shared" ref="Q21:Q29" si="4">+C21-15018.5</f>
        <v>39554.925000000003</v>
      </c>
      <c r="S21">
        <f t="shared" ref="S21:S29" ca="1" si="5">+(G21-O21)^2</f>
        <v>2.6880390888099138E-5</v>
      </c>
    </row>
    <row r="22" spans="1:19" ht="12.95" customHeight="1" x14ac:dyDescent="0.2">
      <c r="A22" s="31" t="s">
        <v>43</v>
      </c>
      <c r="B22" s="32" t="s">
        <v>45</v>
      </c>
      <c r="C22" s="31">
        <v>54574.401550000002</v>
      </c>
      <c r="D22" s="31">
        <v>2.7899999999999999E-3</v>
      </c>
      <c r="E22">
        <f t="shared" si="0"/>
        <v>0</v>
      </c>
      <c r="F22" s="30">
        <f>ROUND(2*E22,0)/2</f>
        <v>0</v>
      </c>
      <c r="G22">
        <f t="shared" si="1"/>
        <v>0</v>
      </c>
      <c r="K22">
        <f t="shared" si="2"/>
        <v>0</v>
      </c>
      <c r="O22">
        <f t="shared" ca="1" si="3"/>
        <v>-1.2457102095419791E-2</v>
      </c>
      <c r="Q22" s="2">
        <f t="shared" si="4"/>
        <v>39555.901550000002</v>
      </c>
      <c r="S22">
        <f t="shared" ca="1" si="5"/>
        <v>1.5517939261571216E-4</v>
      </c>
    </row>
    <row r="23" spans="1:19" ht="12.95" customHeight="1" x14ac:dyDescent="0.2">
      <c r="A23" s="31" t="s">
        <v>43</v>
      </c>
      <c r="B23" s="32" t="s">
        <v>45</v>
      </c>
      <c r="C23" s="31">
        <v>54575.446219999998</v>
      </c>
      <c r="D23" s="31">
        <v>2.5200000000000001E-3</v>
      </c>
      <c r="E23">
        <f t="shared" si="0"/>
        <v>4.902482519103085</v>
      </c>
      <c r="F23" s="30">
        <f>ROUND(2*E23,0)/2</f>
        <v>5</v>
      </c>
      <c r="G23">
        <f t="shared" si="1"/>
        <v>-2.0780000006197952E-2</v>
      </c>
      <c r="K23">
        <f t="shared" si="2"/>
        <v>-2.0780000006197952E-2</v>
      </c>
      <c r="O23">
        <f t="shared" ca="1" si="3"/>
        <v>-1.2453471374526785E-2</v>
      </c>
      <c r="Q23" s="2">
        <f t="shared" si="4"/>
        <v>39556.946219999998</v>
      </c>
      <c r="S23">
        <f t="shared" ca="1" si="5"/>
        <v>6.9331079054039713E-5</v>
      </c>
    </row>
    <row r="24" spans="1:19" ht="12.95" customHeight="1" x14ac:dyDescent="0.2">
      <c r="A24" s="31" t="s">
        <v>43</v>
      </c>
      <c r="B24" s="32" t="s">
        <v>45</v>
      </c>
      <c r="C24" s="31">
        <v>56272.613689999998</v>
      </c>
      <c r="D24" s="31">
        <v>1.6999999999999999E-3</v>
      </c>
      <c r="E24">
        <f t="shared" si="0"/>
        <v>7969.4595710732365</v>
      </c>
      <c r="F24" s="30">
        <f t="shared" ref="F24:F30" si="6">ROUND(2*E24,0)/2</f>
        <v>7969.5</v>
      </c>
      <c r="G24">
        <f t="shared" si="1"/>
        <v>-8.6150000061024912E-3</v>
      </c>
      <c r="K24">
        <f t="shared" si="2"/>
        <v>-8.6150000061024912E-3</v>
      </c>
      <c r="O24">
        <f t="shared" ca="1" si="3"/>
        <v>-6.6700960640582374E-3</v>
      </c>
      <c r="Q24" s="2">
        <f t="shared" si="4"/>
        <v>41254.113689999998</v>
      </c>
      <c r="S24">
        <f t="shared" ca="1" si="5"/>
        <v>3.7826513437792779E-6</v>
      </c>
    </row>
    <row r="25" spans="1:19" ht="12.95" customHeight="1" x14ac:dyDescent="0.2">
      <c r="A25" s="31" t="s">
        <v>43</v>
      </c>
      <c r="B25" s="32" t="s">
        <v>44</v>
      </c>
      <c r="C25" s="31">
        <v>56272.719069999999</v>
      </c>
      <c r="D25" s="31">
        <v>2.5899999999999999E-3</v>
      </c>
      <c r="E25">
        <f t="shared" si="0"/>
        <v>7969.9541038997459</v>
      </c>
      <c r="F25" s="30">
        <f t="shared" si="6"/>
        <v>7970</v>
      </c>
      <c r="G25">
        <f t="shared" si="1"/>
        <v>-9.780000000318978E-3</v>
      </c>
      <c r="K25">
        <f t="shared" si="2"/>
        <v>-9.780000000318978E-3</v>
      </c>
      <c r="O25">
        <f t="shared" ca="1" si="3"/>
        <v>-6.6697329919689369E-3</v>
      </c>
      <c r="Q25" s="2">
        <f t="shared" si="4"/>
        <v>41254.219069999999</v>
      </c>
      <c r="S25">
        <f t="shared" ca="1" si="5"/>
        <v>9.6737608632307136E-6</v>
      </c>
    </row>
    <row r="26" spans="1:19" ht="12.95" customHeight="1" x14ac:dyDescent="0.2">
      <c r="A26" s="31" t="s">
        <v>43</v>
      </c>
      <c r="B26" s="32" t="s">
        <v>45</v>
      </c>
      <c r="C26" s="31">
        <v>56285.612650000003</v>
      </c>
      <c r="D26" s="31">
        <v>1.7899999999999999E-3</v>
      </c>
      <c r="E26">
        <f t="shared" si="0"/>
        <v>8030.4617767140662</v>
      </c>
      <c r="F26" s="30">
        <f t="shared" si="6"/>
        <v>8030.5</v>
      </c>
      <c r="G26">
        <f t="shared" si="1"/>
        <v>-8.1449999997857958E-3</v>
      </c>
      <c r="K26">
        <f t="shared" si="2"/>
        <v>-8.1449999997857958E-3</v>
      </c>
      <c r="O26">
        <f t="shared" ca="1" si="3"/>
        <v>-6.6258012691635696E-3</v>
      </c>
      <c r="Q26" s="2">
        <f t="shared" si="4"/>
        <v>41267.112650000003</v>
      </c>
      <c r="S26">
        <f t="shared" ca="1" si="5"/>
        <v>2.3079647831241831E-6</v>
      </c>
    </row>
    <row r="27" spans="1:19" ht="12.95" customHeight="1" x14ac:dyDescent="0.2">
      <c r="A27" s="31" t="s">
        <v>43</v>
      </c>
      <c r="B27" s="32" t="s">
        <v>44</v>
      </c>
      <c r="C27" s="31">
        <v>56285.725960000003</v>
      </c>
      <c r="D27" s="31">
        <v>1.99E-3</v>
      </c>
      <c r="E27">
        <f t="shared" si="0"/>
        <v>8030.9935238631615</v>
      </c>
      <c r="F27" s="30">
        <f t="shared" si="6"/>
        <v>8031</v>
      </c>
      <c r="G27">
        <f t="shared" si="1"/>
        <v>-1.3800000015180558E-3</v>
      </c>
      <c r="K27">
        <f t="shared" si="2"/>
        <v>-1.3800000015180558E-3</v>
      </c>
      <c r="O27">
        <f t="shared" ca="1" si="3"/>
        <v>-6.6254381970742692E-3</v>
      </c>
      <c r="Q27" s="2">
        <f t="shared" si="4"/>
        <v>41267.225960000003</v>
      </c>
      <c r="S27">
        <f t="shared" ca="1" si="5"/>
        <v>2.7514621863400026E-5</v>
      </c>
    </row>
    <row r="28" spans="1:19" ht="12.95" customHeight="1" x14ac:dyDescent="0.2">
      <c r="A28" s="31" t="s">
        <v>43</v>
      </c>
      <c r="B28" s="32" t="s">
        <v>45</v>
      </c>
      <c r="C28" s="31">
        <v>56638.593549999998</v>
      </c>
      <c r="D28" s="31">
        <v>2.5699999999999998E-3</v>
      </c>
      <c r="E28">
        <f t="shared" si="0"/>
        <v>9686.9491764043141</v>
      </c>
      <c r="F28" s="30">
        <f t="shared" si="6"/>
        <v>9687</v>
      </c>
      <c r="G28">
        <f t="shared" si="1"/>
        <v>-1.0830000006535556E-2</v>
      </c>
      <c r="K28">
        <f t="shared" si="2"/>
        <v>-1.0830000006535556E-2</v>
      </c>
      <c r="O28">
        <f t="shared" ca="1" si="3"/>
        <v>-5.4229434373108294E-3</v>
      </c>
      <c r="Q28" s="2">
        <f t="shared" si="4"/>
        <v>41620.093549999998</v>
      </c>
      <c r="S28">
        <f t="shared" ca="1" si="5"/>
        <v>2.9236260742796274E-5</v>
      </c>
    </row>
    <row r="29" spans="1:19" ht="12.95" customHeight="1" x14ac:dyDescent="0.2">
      <c r="A29" s="31" t="s">
        <v>43</v>
      </c>
      <c r="B29" s="32" t="s">
        <v>44</v>
      </c>
      <c r="C29" s="31">
        <v>56638.714489999998</v>
      </c>
      <c r="D29" s="31">
        <v>3.0599999999999998E-3</v>
      </c>
      <c r="E29">
        <f t="shared" si="0"/>
        <v>9687.516730020161</v>
      </c>
      <c r="F29" s="30">
        <f t="shared" si="6"/>
        <v>9687.5</v>
      </c>
      <c r="G29">
        <f t="shared" si="1"/>
        <v>3.5649999990710057E-3</v>
      </c>
      <c r="K29">
        <f t="shared" si="2"/>
        <v>3.5649999990710057E-3</v>
      </c>
      <c r="O29">
        <f t="shared" ca="1" si="3"/>
        <v>-5.4225803652215281E-3</v>
      </c>
      <c r="Q29" s="2">
        <f t="shared" si="4"/>
        <v>41620.214489999998</v>
      </c>
      <c r="S29">
        <f t="shared" ca="1" si="5"/>
        <v>8.077660080461671E-5</v>
      </c>
    </row>
    <row r="30" spans="1:19" ht="12.95" customHeight="1" x14ac:dyDescent="0.2">
      <c r="A30" s="33" t="s">
        <v>49</v>
      </c>
      <c r="C30" s="8">
        <v>58899.81</v>
      </c>
      <c r="D30" s="8">
        <v>1E-3</v>
      </c>
      <c r="E30">
        <f>+(C30-C$7)/C$8</f>
        <v>20298.50509174525</v>
      </c>
      <c r="F30" s="30">
        <f t="shared" si="6"/>
        <v>20298.5</v>
      </c>
      <c r="G30">
        <f>+C30-(C$7+F30*C$8)</f>
        <v>1.0849999962374568E-3</v>
      </c>
      <c r="K30">
        <f t="shared" si="2"/>
        <v>1.0849999962374568E-3</v>
      </c>
      <c r="O30">
        <f ca="1">+C$11+C$12*$F30</f>
        <v>2.2825355139148608E-3</v>
      </c>
      <c r="Q30" s="2">
        <f>+C30-15018.5</f>
        <v>43881.31</v>
      </c>
      <c r="S30">
        <f ca="1">+(G30-O30)^2</f>
        <v>1.4340913160988879E-6</v>
      </c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0.25" x14ac:dyDescent="0.3">
      <c r="A1" s="1" t="s">
        <v>42</v>
      </c>
    </row>
    <row r="2" spans="1:22" x14ac:dyDescent="0.2">
      <c r="A2" t="s">
        <v>24</v>
      </c>
      <c r="B2" t="s">
        <v>47</v>
      </c>
      <c r="C2" s="3"/>
      <c r="D2" s="3"/>
      <c r="E2" t="s">
        <v>48</v>
      </c>
    </row>
    <row r="3" spans="1:22" ht="13.5" thickBot="1" x14ac:dyDescent="0.25"/>
    <row r="4" spans="1:22" ht="14.25" thickTop="1" thickBot="1" x14ac:dyDescent="0.25">
      <c r="A4" s="5" t="s">
        <v>0</v>
      </c>
      <c r="C4" s="27" t="s">
        <v>40</v>
      </c>
      <c r="D4" s="28" t="s">
        <v>40</v>
      </c>
    </row>
    <row r="5" spans="1:22" ht="13.5" thickTop="1" x14ac:dyDescent="0.2">
      <c r="A5" s="9" t="s">
        <v>31</v>
      </c>
      <c r="B5" s="10"/>
      <c r="C5" s="11">
        <v>8</v>
      </c>
      <c r="D5" s="10" t="s">
        <v>32</v>
      </c>
    </row>
    <row r="6" spans="1:22" x14ac:dyDescent="0.2">
      <c r="A6" s="5" t="s">
        <v>1</v>
      </c>
    </row>
    <row r="7" spans="1:22" x14ac:dyDescent="0.2">
      <c r="A7" t="s">
        <v>2</v>
      </c>
      <c r="C7" s="8">
        <v>54574.401550000002</v>
      </c>
      <c r="D7" s="29" t="s">
        <v>43</v>
      </c>
      <c r="U7">
        <v>0.21295700000000001</v>
      </c>
      <c r="V7">
        <v>9.6417322863906856E-3</v>
      </c>
    </row>
    <row r="8" spans="1:22" x14ac:dyDescent="0.2">
      <c r="A8" t="s">
        <v>3</v>
      </c>
      <c r="C8">
        <v>0.21295700000000001</v>
      </c>
      <c r="D8" s="29" t="s">
        <v>46</v>
      </c>
      <c r="U8">
        <v>0.21296999999999999</v>
      </c>
      <c r="V8">
        <v>8.6618508022984694E-3</v>
      </c>
    </row>
    <row r="9" spans="1:22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  <c r="U9">
        <v>0.21302299999999999</v>
      </c>
      <c r="V9">
        <v>7.0318065517212709E-3</v>
      </c>
    </row>
    <row r="10" spans="1:22" ht="13.5" thickBot="1" x14ac:dyDescent="0.25">
      <c r="A10" s="10"/>
      <c r="B10" s="10"/>
      <c r="C10" s="4" t="s">
        <v>20</v>
      </c>
      <c r="D10" s="4" t="s">
        <v>21</v>
      </c>
      <c r="E10" s="10"/>
      <c r="U10" s="5">
        <v>0.21309</v>
      </c>
      <c r="V10">
        <v>7.0930777043538484E-3</v>
      </c>
    </row>
    <row r="11" spans="1:22" x14ac:dyDescent="0.2">
      <c r="A11" s="10" t="s">
        <v>15</v>
      </c>
      <c r="B11" s="10"/>
      <c r="C11" s="21">
        <f ca="1">INTERCEPT(INDIRECT($E$9):G991,INDIRECT($D$9):F991)</f>
        <v>-1.8303932179868213E-2</v>
      </c>
      <c r="D11" s="3"/>
      <c r="E11" s="10"/>
      <c r="U11">
        <v>0.21315700000000001</v>
      </c>
      <c r="V11">
        <v>7.0318065517212709E-3</v>
      </c>
    </row>
    <row r="12" spans="1:22" x14ac:dyDescent="0.2">
      <c r="A12" s="10" t="s">
        <v>16</v>
      </c>
      <c r="B12" s="10"/>
      <c r="C12" s="21">
        <f ca="1">SLOPE(INDIRECT($E$9):G991,INDIRECT($D$9):F991)</f>
        <v>2.3234613110630648E-6</v>
      </c>
      <c r="D12" s="3"/>
      <c r="E12" s="10"/>
      <c r="U12">
        <v>0.21321000000000001</v>
      </c>
      <c r="V12">
        <v>8.5351328274980241E-3</v>
      </c>
    </row>
    <row r="13" spans="1:22" x14ac:dyDescent="0.2">
      <c r="A13" s="10" t="s">
        <v>19</v>
      </c>
      <c r="B13" s="10"/>
      <c r="C13" s="3" t="s">
        <v>13</v>
      </c>
      <c r="U13">
        <v>0.213223</v>
      </c>
      <c r="V13">
        <v>7.8901811582028254E-3</v>
      </c>
    </row>
    <row r="14" spans="1:22" x14ac:dyDescent="0.2">
      <c r="A14" s="10"/>
      <c r="B14" s="10"/>
      <c r="C14" s="10"/>
      <c r="T14">
        <v>0.21322631031183498</v>
      </c>
      <c r="U14">
        <v>0.21327699999999999</v>
      </c>
      <c r="V14">
        <v>7.8497919467117646E-3</v>
      </c>
    </row>
    <row r="15" spans="1:22" x14ac:dyDescent="0.2">
      <c r="A15" s="12" t="s">
        <v>17</v>
      </c>
      <c r="B15" s="10"/>
      <c r="C15" s="13">
        <f ca="1">(C7+C11)+(C8+C12)*INT(MAX(F21:F3532))</f>
        <v>58899.800064890514</v>
      </c>
      <c r="E15" s="14" t="s">
        <v>37</v>
      </c>
      <c r="F15" s="11">
        <v>1</v>
      </c>
      <c r="U15">
        <v>0.21340799999999999</v>
      </c>
      <c r="V15">
        <v>8.9563547530043149E-3</v>
      </c>
    </row>
    <row r="16" spans="1:22" x14ac:dyDescent="0.2">
      <c r="A16" s="16" t="s">
        <v>4</v>
      </c>
      <c r="B16" s="10"/>
      <c r="C16" s="17">
        <f ca="1">+C8+C12</f>
        <v>0.21295932346131108</v>
      </c>
      <c r="E16" s="14" t="s">
        <v>33</v>
      </c>
      <c r="F16" s="15">
        <f ca="1">NOW()+15018.5+$C$5/24</f>
        <v>60379.421865856486</v>
      </c>
      <c r="U16" s="8">
        <v>0.21354400000000001</v>
      </c>
      <c r="V16">
        <v>1.2398582315289222E-2</v>
      </c>
    </row>
    <row r="17" spans="1:19" ht="13.5" thickBot="1" x14ac:dyDescent="0.25">
      <c r="A17" s="14" t="s">
        <v>30</v>
      </c>
      <c r="B17" s="10"/>
      <c r="C17" s="10">
        <f>COUNT(C21:C2190)</f>
        <v>10</v>
      </c>
      <c r="E17" s="14" t="s">
        <v>38</v>
      </c>
      <c r="F17" s="15">
        <f ca="1">ROUND(2*(F16-$C$7)/$C$8,0)/2+F15</f>
        <v>27260</v>
      </c>
    </row>
    <row r="18" spans="1:19" ht="14.25" thickTop="1" thickBot="1" x14ac:dyDescent="0.25">
      <c r="A18" s="16" t="s">
        <v>5</v>
      </c>
      <c r="B18" s="10"/>
      <c r="C18" s="19">
        <f ca="1">+C15</f>
        <v>58899.800064890514</v>
      </c>
      <c r="D18" s="20">
        <f ca="1">+C16</f>
        <v>0.21295932346131108</v>
      </c>
      <c r="E18" s="14" t="s">
        <v>39</v>
      </c>
      <c r="F18" s="23">
        <f ca="1">ROUND(2*(F16-$C$15)/$C$16,0)/2+F15</f>
        <v>6949</v>
      </c>
    </row>
    <row r="19" spans="1:19" ht="13.5" thickTop="1" x14ac:dyDescent="0.2">
      <c r="E19" s="14" t="s">
        <v>34</v>
      </c>
      <c r="F19" s="18">
        <f ca="1">+$C$15+$C$16*F18-15018.5-$C$5/24</f>
        <v>45360.821070289829</v>
      </c>
      <c r="S19">
        <f ca="1">SQRT(SUM(S21:S29)/(COUNT(S21:S29)-1))</f>
        <v>1.0573240675107192E-2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9" x14ac:dyDescent="0.2">
      <c r="A21" s="31" t="s">
        <v>43</v>
      </c>
      <c r="B21" s="32" t="s">
        <v>44</v>
      </c>
      <c r="C21" s="31">
        <v>54573.425000000003</v>
      </c>
      <c r="D21" s="31">
        <v>5.2100000000000002E-3</v>
      </c>
      <c r="E21">
        <f t="shared" ref="E21:E29" si="0">+(C21-C$7)/C$8</f>
        <v>-4.5856675291228104</v>
      </c>
      <c r="F21" s="30">
        <f t="shared" ref="F21:F29" si="1">ROUND(2*E21,0)/2</f>
        <v>-4.5</v>
      </c>
      <c r="G21">
        <f t="shared" ref="G21:G29" si="2">+C21-(C$7+F21*C$8)</f>
        <v>-1.8243500002427027E-2</v>
      </c>
      <c r="H21">
        <f t="shared" ref="H21:H29" si="3">+G21</f>
        <v>-1.8243500002427027E-2</v>
      </c>
      <c r="O21">
        <f t="shared" ref="O21:O29" ca="1" si="4">+C$11+C$12*$F21</f>
        <v>-1.8314387755767995E-2</v>
      </c>
      <c r="Q21" s="2">
        <f t="shared" ref="Q21:Q29" si="5">+C21-15018.5</f>
        <v>39554.925000000003</v>
      </c>
      <c r="S21">
        <f t="shared" ref="S21:S29" ca="1" si="6">+(G21-O21)^2</f>
        <v>5.0250735737299355E-9</v>
      </c>
    </row>
    <row r="22" spans="1:19" x14ac:dyDescent="0.2">
      <c r="A22" s="31" t="s">
        <v>43</v>
      </c>
      <c r="B22" s="32" t="s">
        <v>45</v>
      </c>
      <c r="C22" s="31">
        <v>54574.401550000002</v>
      </c>
      <c r="D22" s="31">
        <v>2.7899999999999999E-3</v>
      </c>
      <c r="E22">
        <f t="shared" si="0"/>
        <v>0</v>
      </c>
      <c r="F22" s="30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-1.8303932179868213E-2</v>
      </c>
      <c r="Q22" s="2">
        <f t="shared" si="5"/>
        <v>39555.901550000002</v>
      </c>
      <c r="S22">
        <f t="shared" ca="1" si="6"/>
        <v>3.3503393324521509E-4</v>
      </c>
    </row>
    <row r="23" spans="1:19" x14ac:dyDescent="0.2">
      <c r="A23" s="31" t="s">
        <v>43</v>
      </c>
      <c r="B23" s="32" t="s">
        <v>45</v>
      </c>
      <c r="C23" s="31">
        <v>54575.446219999998</v>
      </c>
      <c r="D23" s="31">
        <v>2.5200000000000001E-3</v>
      </c>
      <c r="E23">
        <f t="shared" si="0"/>
        <v>4.9055443117421653</v>
      </c>
      <c r="F23" s="30">
        <f t="shared" si="1"/>
        <v>5</v>
      </c>
      <c r="G23">
        <f t="shared" si="2"/>
        <v>-2.011500000662636E-2</v>
      </c>
      <c r="H23">
        <f t="shared" si="3"/>
        <v>-2.011500000662636E-2</v>
      </c>
      <c r="O23">
        <f t="shared" ca="1" si="4"/>
        <v>-1.8292314873312898E-2</v>
      </c>
      <c r="Q23" s="2">
        <f t="shared" si="5"/>
        <v>39556.946219999998</v>
      </c>
      <c r="S23">
        <f t="shared" ca="1" si="6"/>
        <v>3.3221810952019126E-6</v>
      </c>
    </row>
    <row r="24" spans="1:19" x14ac:dyDescent="0.2">
      <c r="A24" s="31" t="s">
        <v>43</v>
      </c>
      <c r="B24" s="32" t="s">
        <v>45</v>
      </c>
      <c r="C24" s="31">
        <v>56272.613689999998</v>
      </c>
      <c r="D24" s="31">
        <v>1.6999999999999999E-3</v>
      </c>
      <c r="E24">
        <f t="shared" si="0"/>
        <v>7974.4368111872163</v>
      </c>
      <c r="F24" s="30">
        <f t="shared" si="1"/>
        <v>7974.5</v>
      </c>
      <c r="G24">
        <f t="shared" si="2"/>
        <v>-1.3456500004394911E-2</v>
      </c>
      <c r="H24">
        <f t="shared" si="3"/>
        <v>-1.3456500004394911E-2</v>
      </c>
      <c r="O24">
        <f t="shared" ca="1" si="4"/>
        <v>2.245100452041987E-4</v>
      </c>
      <c r="Q24" s="2">
        <f t="shared" si="5"/>
        <v>41254.113689999998</v>
      </c>
      <c r="S24">
        <f t="shared" ca="1" si="6"/>
        <v>1.8717003597723184E-4</v>
      </c>
    </row>
    <row r="25" spans="1:19" x14ac:dyDescent="0.2">
      <c r="A25" s="31" t="s">
        <v>43</v>
      </c>
      <c r="B25" s="32" t="s">
        <v>44</v>
      </c>
      <c r="C25" s="31">
        <v>56272.719069999999</v>
      </c>
      <c r="D25" s="31">
        <v>2.5899999999999999E-3</v>
      </c>
      <c r="E25">
        <f t="shared" si="0"/>
        <v>7974.9316528688742</v>
      </c>
      <c r="F25" s="30">
        <f t="shared" si="1"/>
        <v>7975</v>
      </c>
      <c r="G25">
        <f t="shared" si="2"/>
        <v>-1.4555000001564622E-2</v>
      </c>
      <c r="H25">
        <f t="shared" si="3"/>
        <v>-1.4555000001564622E-2</v>
      </c>
      <c r="O25">
        <f t="shared" ca="1" si="4"/>
        <v>2.2567177585973083E-4</v>
      </c>
      <c r="Q25" s="2">
        <f t="shared" si="5"/>
        <v>41254.219069999999</v>
      </c>
      <c r="S25">
        <f t="shared" ca="1" si="6"/>
        <v>2.1846825819194879E-4</v>
      </c>
    </row>
    <row r="26" spans="1:19" x14ac:dyDescent="0.2">
      <c r="A26" s="31" t="s">
        <v>43</v>
      </c>
      <c r="B26" s="32" t="s">
        <v>45</v>
      </c>
      <c r="C26" s="31">
        <v>56285.612650000003</v>
      </c>
      <c r="D26" s="31">
        <v>1.7899999999999999E-3</v>
      </c>
      <c r="E26">
        <f t="shared" si="0"/>
        <v>8035.4771150983552</v>
      </c>
      <c r="F26" s="30">
        <f t="shared" si="1"/>
        <v>8035.5</v>
      </c>
      <c r="G26">
        <f t="shared" si="2"/>
        <v>-4.8735000018496066E-3</v>
      </c>
      <c r="H26">
        <f t="shared" si="3"/>
        <v>-4.8735000018496066E-3</v>
      </c>
      <c r="O26">
        <f t="shared" ca="1" si="4"/>
        <v>3.662411851790455E-4</v>
      </c>
      <c r="Q26" s="2">
        <f t="shared" si="5"/>
        <v>41267.112650000003</v>
      </c>
      <c r="S26">
        <f t="shared" ca="1" si="6"/>
        <v>2.7454887707044427E-5</v>
      </c>
    </row>
    <row r="27" spans="1:19" x14ac:dyDescent="0.2">
      <c r="A27" s="31" t="s">
        <v>43</v>
      </c>
      <c r="B27" s="32" t="s">
        <v>44</v>
      </c>
      <c r="C27" s="31">
        <v>56285.725960000003</v>
      </c>
      <c r="D27" s="31">
        <v>1.99E-3</v>
      </c>
      <c r="E27">
        <f t="shared" si="0"/>
        <v>8036.0091943444031</v>
      </c>
      <c r="F27" s="30">
        <f t="shared" si="1"/>
        <v>8036</v>
      </c>
      <c r="G27">
        <f t="shared" si="2"/>
        <v>1.9580000007408671E-3</v>
      </c>
      <c r="H27">
        <f t="shared" si="3"/>
        <v>1.9580000007408671E-3</v>
      </c>
      <c r="O27">
        <f t="shared" ca="1" si="4"/>
        <v>3.6740291583457763E-4</v>
      </c>
      <c r="Q27" s="2">
        <f t="shared" si="5"/>
        <v>41267.225960000003</v>
      </c>
      <c r="S27">
        <f t="shared" ca="1" si="6"/>
        <v>2.5299990865123857E-6</v>
      </c>
    </row>
    <row r="28" spans="1:19" x14ac:dyDescent="0.2">
      <c r="A28" s="31" t="s">
        <v>43</v>
      </c>
      <c r="B28" s="32" t="s">
        <v>45</v>
      </c>
      <c r="C28" s="31">
        <v>56638.593549999998</v>
      </c>
      <c r="D28" s="31">
        <v>2.5699999999999998E-3</v>
      </c>
      <c r="E28">
        <f t="shared" si="0"/>
        <v>9692.9990561474642</v>
      </c>
      <c r="F28" s="30">
        <f t="shared" si="1"/>
        <v>9693</v>
      </c>
      <c r="G28">
        <f t="shared" si="2"/>
        <v>-2.010000025620684E-4</v>
      </c>
      <c r="H28">
        <f t="shared" si="3"/>
        <v>-2.010000025620684E-4</v>
      </c>
      <c r="O28">
        <f t="shared" ca="1" si="4"/>
        <v>4.2173783082660732E-3</v>
      </c>
      <c r="Q28" s="2">
        <f t="shared" si="5"/>
        <v>41620.093549999998</v>
      </c>
      <c r="S28">
        <f t="shared" ca="1" si="6"/>
        <v>1.9522066897596543E-5</v>
      </c>
    </row>
    <row r="29" spans="1:19" x14ac:dyDescent="0.2">
      <c r="A29" s="31" t="s">
        <v>43</v>
      </c>
      <c r="B29" s="32" t="s">
        <v>44</v>
      </c>
      <c r="C29" s="31">
        <v>56638.714489999998</v>
      </c>
      <c r="D29" s="31">
        <v>3.0599999999999998E-3</v>
      </c>
      <c r="E29">
        <f t="shared" si="0"/>
        <v>9693.5669642228058</v>
      </c>
      <c r="F29" s="30">
        <f t="shared" si="1"/>
        <v>9693.5</v>
      </c>
      <c r="G29">
        <f t="shared" si="2"/>
        <v>1.4260499992815312E-2</v>
      </c>
      <c r="H29">
        <f t="shared" si="3"/>
        <v>1.4260499992815312E-2</v>
      </c>
      <c r="O29">
        <f t="shared" ca="1" si="4"/>
        <v>4.2185400389216053E-3</v>
      </c>
      <c r="Q29" s="2">
        <f t="shared" si="5"/>
        <v>41620.214489999998</v>
      </c>
      <c r="S29">
        <f t="shared" ca="1" si="6"/>
        <v>1.008409597156049E-4</v>
      </c>
    </row>
    <row r="30" spans="1:19" x14ac:dyDescent="0.2">
      <c r="A30" s="33" t="s">
        <v>49</v>
      </c>
      <c r="C30" s="8">
        <v>58899.81</v>
      </c>
      <c r="D30" s="8">
        <v>1E-3</v>
      </c>
      <c r="E30">
        <f t="shared" ref="E30" si="7">+(C30-C$7)/C$8</f>
        <v>20311.182304408849</v>
      </c>
      <c r="F30" s="30">
        <f t="shared" ref="F30" si="8">ROUND(2*E30,0)/2</f>
        <v>20311</v>
      </c>
      <c r="G30">
        <f t="shared" ref="G30" si="9">+C30-(C$7+F30*C$8)</f>
        <v>3.8822999995318241E-2</v>
      </c>
      <c r="H30">
        <f t="shared" ref="H30" si="10">+G30</f>
        <v>3.8822999995318241E-2</v>
      </c>
      <c r="O30">
        <f t="shared" ref="O30" ca="1" si="11">+C$11+C$12*$F30</f>
        <v>2.88878905091337E-2</v>
      </c>
      <c r="Q30" s="2">
        <f t="shared" ref="Q30" si="12">+C30-15018.5</f>
        <v>43881.31</v>
      </c>
      <c r="S30">
        <f t="shared" ref="S30" ca="1" si="13">+(G30-O30)^2</f>
        <v>9.8706400502474067E-5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3</vt:lpstr>
      <vt:lpstr>Active 4</vt:lpstr>
      <vt:lpstr>Graphs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2024-03-09T03:37:29Z</dcterms:modified>
</cp:coreProperties>
</file>