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72C5F1F-3FC1-4BF0-BBB7-AA25C5648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BAV" sheetId="2" r:id="rId3"/>
    <sheet name="B" sheetId="3" r:id="rId4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95" i="1" l="1"/>
  <c r="F95" i="1" s="1"/>
  <c r="Q95" i="1"/>
  <c r="E91" i="1"/>
  <c r="F91" i="1" s="1"/>
  <c r="Q91" i="1"/>
  <c r="E94" i="1"/>
  <c r="F94" i="1"/>
  <c r="D9" i="1"/>
  <c r="C9" i="1"/>
  <c r="E72" i="1"/>
  <c r="F72" i="1" s="1"/>
  <c r="E73" i="1"/>
  <c r="F73" i="1"/>
  <c r="E74" i="1"/>
  <c r="F74" i="1"/>
  <c r="G74" i="1"/>
  <c r="K74" i="1" s="1"/>
  <c r="E75" i="1"/>
  <c r="F75" i="1" s="1"/>
  <c r="E76" i="1"/>
  <c r="F76" i="1"/>
  <c r="G76" i="1" s="1"/>
  <c r="K76" i="1" s="1"/>
  <c r="E77" i="1"/>
  <c r="F77" i="1"/>
  <c r="E81" i="1"/>
  <c r="F81" i="1" s="1"/>
  <c r="E82" i="1"/>
  <c r="F82" i="1" s="1"/>
  <c r="E83" i="1"/>
  <c r="F83" i="1" s="1"/>
  <c r="E84" i="1"/>
  <c r="F84" i="1" s="1"/>
  <c r="G84" i="1" s="1"/>
  <c r="K84" i="1" s="1"/>
  <c r="E85" i="1"/>
  <c r="F85" i="1" s="1"/>
  <c r="G85" i="1" s="1"/>
  <c r="K85" i="1" s="1"/>
  <c r="E86" i="1"/>
  <c r="F86" i="1"/>
  <c r="E87" i="1"/>
  <c r="F87" i="1" s="1"/>
  <c r="E88" i="1"/>
  <c r="F88" i="1" s="1"/>
  <c r="G88" i="1" s="1"/>
  <c r="K88" i="1" s="1"/>
  <c r="E89" i="1"/>
  <c r="F89" i="1" s="1"/>
  <c r="E93" i="1"/>
  <c r="F93" i="1" s="1"/>
  <c r="E78" i="1"/>
  <c r="F78" i="1" s="1"/>
  <c r="E79" i="1"/>
  <c r="F79" i="1"/>
  <c r="G79" i="1" s="1"/>
  <c r="K79" i="1" s="1"/>
  <c r="E80" i="1"/>
  <c r="F80" i="1" s="1"/>
  <c r="G80" i="1" s="1"/>
  <c r="K80" i="1" s="1"/>
  <c r="E90" i="1"/>
  <c r="F90" i="1" s="1"/>
  <c r="E92" i="1"/>
  <c r="F92" i="1"/>
  <c r="G92" i="1" s="1"/>
  <c r="K92" i="1" s="1"/>
  <c r="D11" i="1"/>
  <c r="D12" i="1"/>
  <c r="P92" i="1" s="1"/>
  <c r="D13" i="1"/>
  <c r="Q94" i="1"/>
  <c r="D7" i="1"/>
  <c r="F8" i="1"/>
  <c r="D14" i="1"/>
  <c r="E21" i="1"/>
  <c r="F21" i="1" s="1"/>
  <c r="E22" i="1"/>
  <c r="F22" i="1" s="1"/>
  <c r="E23" i="1"/>
  <c r="F23" i="1"/>
  <c r="G23" i="1" s="1"/>
  <c r="H23" i="1" s="1"/>
  <c r="E24" i="1"/>
  <c r="F24" i="1" s="1"/>
  <c r="E25" i="1"/>
  <c r="F25" i="1" s="1"/>
  <c r="E26" i="1"/>
  <c r="F26" i="1"/>
  <c r="G26" i="1" s="1"/>
  <c r="H26" i="1" s="1"/>
  <c r="E27" i="1"/>
  <c r="F27" i="1" s="1"/>
  <c r="E28" i="1"/>
  <c r="F28" i="1"/>
  <c r="G28" i="1"/>
  <c r="H28" i="1" s="1"/>
  <c r="E29" i="1"/>
  <c r="F29" i="1" s="1"/>
  <c r="E30" i="1"/>
  <c r="F30" i="1" s="1"/>
  <c r="E31" i="1"/>
  <c r="F31" i="1"/>
  <c r="G31" i="1" s="1"/>
  <c r="K31" i="1" s="1"/>
  <c r="E32" i="1"/>
  <c r="F32" i="1" s="1"/>
  <c r="E33" i="1"/>
  <c r="F33" i="1"/>
  <c r="E34" i="1"/>
  <c r="F34" i="1" s="1"/>
  <c r="E35" i="1"/>
  <c r="F35" i="1"/>
  <c r="G35" i="1" s="1"/>
  <c r="K35" i="1" s="1"/>
  <c r="E36" i="1"/>
  <c r="F36" i="1"/>
  <c r="G36" i="1" s="1"/>
  <c r="K36" i="1" s="1"/>
  <c r="E37" i="1"/>
  <c r="F37" i="1" s="1"/>
  <c r="E38" i="1"/>
  <c r="F38" i="1"/>
  <c r="G38" i="1" s="1"/>
  <c r="K38" i="1" s="1"/>
  <c r="E39" i="1"/>
  <c r="F39" i="1" s="1"/>
  <c r="E40" i="1"/>
  <c r="F40" i="1" s="1"/>
  <c r="G40" i="1" s="1"/>
  <c r="K40" i="1" s="1"/>
  <c r="E41" i="1"/>
  <c r="F41" i="1"/>
  <c r="E42" i="1"/>
  <c r="F42" i="1" s="1"/>
  <c r="E43" i="1"/>
  <c r="F43" i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/>
  <c r="E51" i="1"/>
  <c r="F51" i="1"/>
  <c r="G51" i="1" s="1"/>
  <c r="K51" i="1" s="1"/>
  <c r="E52" i="1"/>
  <c r="F52" i="1" s="1"/>
  <c r="G52" i="1" s="1"/>
  <c r="K52" i="1" s="1"/>
  <c r="E54" i="1"/>
  <c r="F54" i="1" s="1"/>
  <c r="E55" i="1"/>
  <c r="F55" i="1" s="1"/>
  <c r="E56" i="1"/>
  <c r="F56" i="1" s="1"/>
  <c r="G56" i="1" s="1"/>
  <c r="J56" i="1" s="1"/>
  <c r="E57" i="1"/>
  <c r="F57" i="1"/>
  <c r="G57" i="1" s="1"/>
  <c r="K57" i="1" s="1"/>
  <c r="E58" i="1"/>
  <c r="F58" i="1" s="1"/>
  <c r="E59" i="1"/>
  <c r="F59" i="1"/>
  <c r="E60" i="1"/>
  <c r="F60" i="1" s="1"/>
  <c r="G60" i="1" s="1"/>
  <c r="J60" i="1" s="1"/>
  <c r="E61" i="1"/>
  <c r="F61" i="1" s="1"/>
  <c r="E62" i="1"/>
  <c r="F62" i="1" s="1"/>
  <c r="E63" i="1"/>
  <c r="F63" i="1" s="1"/>
  <c r="E64" i="1"/>
  <c r="F64" i="1" s="1"/>
  <c r="E65" i="1"/>
  <c r="F65" i="1"/>
  <c r="G65" i="1" s="1"/>
  <c r="K65" i="1" s="1"/>
  <c r="E66" i="1"/>
  <c r="F66" i="1" s="1"/>
  <c r="E67" i="1"/>
  <c r="F67" i="1"/>
  <c r="E68" i="1"/>
  <c r="F68" i="1" s="1"/>
  <c r="E69" i="1"/>
  <c r="F69" i="1" s="1"/>
  <c r="G69" i="1" s="1"/>
  <c r="K69" i="1" s="1"/>
  <c r="E70" i="1"/>
  <c r="F70" i="1" s="1"/>
  <c r="E71" i="1"/>
  <c r="F71" i="1" s="1"/>
  <c r="E44" i="1"/>
  <c r="F44" i="1" s="1"/>
  <c r="E53" i="1"/>
  <c r="F53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81" i="1"/>
  <c r="Q82" i="1"/>
  <c r="Q83" i="1"/>
  <c r="Q84" i="1"/>
  <c r="Q85" i="1"/>
  <c r="Q86" i="1"/>
  <c r="Q87" i="1"/>
  <c r="Q88" i="1"/>
  <c r="Q89" i="1"/>
  <c r="Q93" i="1"/>
  <c r="Q78" i="1"/>
  <c r="Q79" i="1"/>
  <c r="Q80" i="1"/>
  <c r="Q90" i="1"/>
  <c r="Q92" i="1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A11" i="2"/>
  <c r="H11" i="2"/>
  <c r="B11" i="2"/>
  <c r="G11" i="2"/>
  <c r="C11" i="2"/>
  <c r="D11" i="2"/>
  <c r="E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E19" i="2"/>
  <c r="A20" i="2"/>
  <c r="H20" i="2"/>
  <c r="B20" i="2"/>
  <c r="G20" i="2"/>
  <c r="C20" i="2"/>
  <c r="D20" i="2"/>
  <c r="A21" i="2"/>
  <c r="H21" i="2"/>
  <c r="B21" i="2"/>
  <c r="G21" i="2"/>
  <c r="C21" i="2"/>
  <c r="E21" i="2"/>
  <c r="D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A24" i="2"/>
  <c r="H24" i="2"/>
  <c r="B24" i="2"/>
  <c r="G24" i="2"/>
  <c r="C24" i="2"/>
  <c r="E24" i="2"/>
  <c r="D24" i="2"/>
  <c r="A25" i="2"/>
  <c r="H25" i="2"/>
  <c r="B25" i="2"/>
  <c r="G25" i="2"/>
  <c r="C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D28" i="2"/>
  <c r="A29" i="2"/>
  <c r="H29" i="2"/>
  <c r="B29" i="2"/>
  <c r="G29" i="2"/>
  <c r="C29" i="2"/>
  <c r="E29" i="2"/>
  <c r="D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E37" i="2"/>
  <c r="D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A40" i="2"/>
  <c r="H40" i="2"/>
  <c r="B40" i="2"/>
  <c r="G40" i="2"/>
  <c r="C40" i="2"/>
  <c r="E40" i="2"/>
  <c r="D40" i="2"/>
  <c r="A41" i="2"/>
  <c r="H41" i="2"/>
  <c r="B41" i="2"/>
  <c r="G41" i="2"/>
  <c r="C41" i="2"/>
  <c r="E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G41" i="1"/>
  <c r="K41" i="1"/>
  <c r="G86" i="1"/>
  <c r="K86" i="1" s="1"/>
  <c r="G50" i="1"/>
  <c r="G73" i="1"/>
  <c r="K73" i="1"/>
  <c r="G59" i="1"/>
  <c r="K59" i="1" s="1"/>
  <c r="G67" i="1"/>
  <c r="K67" i="1"/>
  <c r="G33" i="1"/>
  <c r="K33" i="1" s="1"/>
  <c r="G94" i="1"/>
  <c r="K94" i="1" s="1"/>
  <c r="G77" i="1"/>
  <c r="K77" i="1"/>
  <c r="P76" i="1" l="1"/>
  <c r="R76" i="1" s="1"/>
  <c r="T76" i="1" s="1"/>
  <c r="P73" i="1"/>
  <c r="R73" i="1" s="1"/>
  <c r="T73" i="1" s="1"/>
  <c r="P74" i="1"/>
  <c r="R74" i="1" s="1"/>
  <c r="T74" i="1" s="1"/>
  <c r="W21" i="1"/>
  <c r="P31" i="1"/>
  <c r="W12" i="1"/>
  <c r="P59" i="1"/>
  <c r="R59" i="1" s="1"/>
  <c r="T59" i="1" s="1"/>
  <c r="W27" i="1"/>
  <c r="P51" i="1"/>
  <c r="R51" i="1" s="1"/>
  <c r="T51" i="1" s="1"/>
  <c r="P65" i="1"/>
  <c r="R65" i="1" s="1"/>
  <c r="T65" i="1" s="1"/>
  <c r="W13" i="1"/>
  <c r="P41" i="1"/>
  <c r="W31" i="1"/>
  <c r="W11" i="1"/>
  <c r="R50" i="1"/>
  <c r="T50" i="1" s="1"/>
  <c r="W3" i="1"/>
  <c r="P77" i="1"/>
  <c r="R77" i="1" s="1"/>
  <c r="T77" i="1" s="1"/>
  <c r="P67" i="1"/>
  <c r="R67" i="1" s="1"/>
  <c r="T67" i="1" s="1"/>
  <c r="P86" i="1"/>
  <c r="W16" i="1"/>
  <c r="W7" i="1"/>
  <c r="W2" i="1"/>
  <c r="W33" i="1"/>
  <c r="W23" i="1"/>
  <c r="P94" i="1"/>
  <c r="W15" i="1"/>
  <c r="W5" i="1"/>
  <c r="W4" i="1"/>
  <c r="W9" i="1"/>
  <c r="P33" i="1"/>
  <c r="W25" i="1"/>
  <c r="W20" i="1"/>
  <c r="W14" i="1"/>
  <c r="W8" i="1"/>
  <c r="W10" i="1"/>
  <c r="W19" i="1"/>
  <c r="P26" i="1"/>
  <c r="R26" i="1" s="1"/>
  <c r="T26" i="1" s="1"/>
  <c r="P50" i="1"/>
  <c r="W29" i="1"/>
  <c r="W24" i="1"/>
  <c r="P46" i="1"/>
  <c r="R46" i="1" s="1"/>
  <c r="T46" i="1" s="1"/>
  <c r="G46" i="1"/>
  <c r="K46" i="1" s="1"/>
  <c r="P61" i="1"/>
  <c r="G61" i="1"/>
  <c r="K61" i="1" s="1"/>
  <c r="R41" i="1"/>
  <c r="T41" i="1" s="1"/>
  <c r="W32" i="1"/>
  <c r="W28" i="1"/>
  <c r="P79" i="1"/>
  <c r="R79" i="1" s="1"/>
  <c r="T79" i="1" s="1"/>
  <c r="R33" i="1"/>
  <c r="T33" i="1" s="1"/>
  <c r="E34" i="2"/>
  <c r="W34" i="1"/>
  <c r="W30" i="1"/>
  <c r="P43" i="1"/>
  <c r="R43" i="1" s="1"/>
  <c r="T43" i="1" s="1"/>
  <c r="G78" i="1"/>
  <c r="K78" i="1" s="1"/>
  <c r="P78" i="1"/>
  <c r="P66" i="1"/>
  <c r="G66" i="1"/>
  <c r="K66" i="1" s="1"/>
  <c r="P55" i="1"/>
  <c r="R55" i="1" s="1"/>
  <c r="T55" i="1" s="1"/>
  <c r="G55" i="1"/>
  <c r="J55" i="1" s="1"/>
  <c r="P49" i="1"/>
  <c r="G49" i="1"/>
  <c r="K49" i="1" s="1"/>
  <c r="G42" i="1"/>
  <c r="K42" i="1" s="1"/>
  <c r="P42" i="1"/>
  <c r="P93" i="1"/>
  <c r="G93" i="1"/>
  <c r="K93" i="1" s="1"/>
  <c r="P75" i="1"/>
  <c r="R75" i="1" s="1"/>
  <c r="T75" i="1" s="1"/>
  <c r="G75" i="1"/>
  <c r="K75" i="1" s="1"/>
  <c r="P27" i="1"/>
  <c r="G27" i="1"/>
  <c r="H27" i="1" s="1"/>
  <c r="G54" i="1"/>
  <c r="J54" i="1" s="1"/>
  <c r="P54" i="1"/>
  <c r="G48" i="1"/>
  <c r="K48" i="1" s="1"/>
  <c r="P48" i="1"/>
  <c r="P89" i="1"/>
  <c r="R89" i="1" s="1"/>
  <c r="T89" i="1" s="1"/>
  <c r="G89" i="1"/>
  <c r="K89" i="1" s="1"/>
  <c r="G83" i="1"/>
  <c r="K83" i="1" s="1"/>
  <c r="P83" i="1"/>
  <c r="G37" i="1"/>
  <c r="K37" i="1" s="1"/>
  <c r="P37" i="1"/>
  <c r="P71" i="1"/>
  <c r="G71" i="1"/>
  <c r="K71" i="1" s="1"/>
  <c r="G47" i="1"/>
  <c r="I47" i="1" s="1"/>
  <c r="P47" i="1"/>
  <c r="G30" i="1"/>
  <c r="K30" i="1" s="1"/>
  <c r="P30" i="1"/>
  <c r="P25" i="1"/>
  <c r="G25" i="1"/>
  <c r="H25" i="1" s="1"/>
  <c r="U90" i="1"/>
  <c r="P90" i="1"/>
  <c r="G82" i="1"/>
  <c r="K82" i="1" s="1"/>
  <c r="P82" i="1"/>
  <c r="P32" i="1"/>
  <c r="G32" i="1"/>
  <c r="K32" i="1" s="1"/>
  <c r="P53" i="1"/>
  <c r="R53" i="1" s="1"/>
  <c r="U53" i="1"/>
  <c r="P70" i="1"/>
  <c r="G70" i="1"/>
  <c r="K70" i="1" s="1"/>
  <c r="G64" i="1"/>
  <c r="K64" i="1" s="1"/>
  <c r="P64" i="1"/>
  <c r="P29" i="1"/>
  <c r="G29" i="1"/>
  <c r="H29" i="1" s="1"/>
  <c r="G24" i="1"/>
  <c r="H24" i="1" s="1"/>
  <c r="P24" i="1"/>
  <c r="G87" i="1"/>
  <c r="K87" i="1" s="1"/>
  <c r="P87" i="1"/>
  <c r="G81" i="1"/>
  <c r="K81" i="1" s="1"/>
  <c r="P81" i="1"/>
  <c r="G21" i="1"/>
  <c r="H21" i="1" s="1"/>
  <c r="P21" i="1"/>
  <c r="G44" i="1"/>
  <c r="P44" i="1"/>
  <c r="G63" i="1"/>
  <c r="K63" i="1" s="1"/>
  <c r="P63" i="1"/>
  <c r="G58" i="1"/>
  <c r="K58" i="1" s="1"/>
  <c r="P58" i="1"/>
  <c r="G39" i="1"/>
  <c r="K39" i="1" s="1"/>
  <c r="P39" i="1"/>
  <c r="G34" i="1"/>
  <c r="K34" i="1" s="1"/>
  <c r="P34" i="1"/>
  <c r="P91" i="1"/>
  <c r="G91" i="1"/>
  <c r="K91" i="1" s="1"/>
  <c r="G68" i="1"/>
  <c r="K68" i="1" s="1"/>
  <c r="P68" i="1"/>
  <c r="P62" i="1"/>
  <c r="G62" i="1"/>
  <c r="K62" i="1" s="1"/>
  <c r="P45" i="1"/>
  <c r="G45" i="1"/>
  <c r="K45" i="1" s="1"/>
  <c r="P22" i="1"/>
  <c r="G22" i="1"/>
  <c r="H22" i="1" s="1"/>
  <c r="G72" i="1"/>
  <c r="K72" i="1" s="1"/>
  <c r="P72" i="1"/>
  <c r="R72" i="1" s="1"/>
  <c r="T72" i="1" s="1"/>
  <c r="K50" i="1"/>
  <c r="R86" i="1"/>
  <c r="T86" i="1" s="1"/>
  <c r="G43" i="1"/>
  <c r="K43" i="1" s="1"/>
  <c r="P28" i="1"/>
  <c r="R28" i="1" s="1"/>
  <c r="T28" i="1" s="1"/>
  <c r="R31" i="1"/>
  <c r="T31" i="1" s="1"/>
  <c r="E28" i="2"/>
  <c r="E20" i="2"/>
  <c r="R92" i="1"/>
  <c r="T92" i="1" s="1"/>
  <c r="E39" i="2"/>
  <c r="E23" i="2"/>
  <c r="E15" i="2"/>
  <c r="P23" i="1"/>
  <c r="R23" i="1" s="1"/>
  <c r="T23" i="1" s="1"/>
  <c r="P57" i="1"/>
  <c r="R57" i="1" s="1"/>
  <c r="T57" i="1" s="1"/>
  <c r="R94" i="1"/>
  <c r="T94" i="1" s="1"/>
  <c r="E25" i="2"/>
  <c r="P84" i="1"/>
  <c r="R84" i="1" s="1"/>
  <c r="T84" i="1" s="1"/>
  <c r="D15" i="1"/>
  <c r="C19" i="1" s="1"/>
  <c r="D16" i="1"/>
  <c r="D19" i="1" s="1"/>
  <c r="G95" i="1"/>
  <c r="P95" i="1"/>
  <c r="W26" i="1"/>
  <c r="W18" i="1"/>
  <c r="P80" i="1"/>
  <c r="R80" i="1" s="1"/>
  <c r="T80" i="1" s="1"/>
  <c r="W6" i="1"/>
  <c r="W17" i="1"/>
  <c r="P60" i="1"/>
  <c r="R60" i="1" s="1"/>
  <c r="T60" i="1" s="1"/>
  <c r="P56" i="1"/>
  <c r="R56" i="1" s="1"/>
  <c r="T56" i="1" s="1"/>
  <c r="P52" i="1"/>
  <c r="R52" i="1" s="1"/>
  <c r="T52" i="1" s="1"/>
  <c r="P40" i="1"/>
  <c r="R40" i="1" s="1"/>
  <c r="T40" i="1" s="1"/>
  <c r="P38" i="1"/>
  <c r="R38" i="1" s="1"/>
  <c r="T38" i="1" s="1"/>
  <c r="P35" i="1"/>
  <c r="R35" i="1" s="1"/>
  <c r="T35" i="1" s="1"/>
  <c r="W22" i="1"/>
  <c r="P85" i="1"/>
  <c r="R85" i="1" s="1"/>
  <c r="T85" i="1" s="1"/>
  <c r="P88" i="1"/>
  <c r="R88" i="1" s="1"/>
  <c r="T88" i="1" s="1"/>
  <c r="P36" i="1"/>
  <c r="R36" i="1" s="1"/>
  <c r="T36" i="1" s="1"/>
  <c r="P69" i="1"/>
  <c r="R69" i="1" s="1"/>
  <c r="T69" i="1" s="1"/>
  <c r="C11" i="1"/>
  <c r="C12" i="1"/>
  <c r="R91" i="1" l="1"/>
  <c r="T91" i="1" s="1"/>
  <c r="R70" i="1"/>
  <c r="T70" i="1" s="1"/>
  <c r="R71" i="1"/>
  <c r="T71" i="1" s="1"/>
  <c r="R93" i="1"/>
  <c r="T93" i="1" s="1"/>
  <c r="R66" i="1"/>
  <c r="T66" i="1" s="1"/>
  <c r="R45" i="1"/>
  <c r="T45" i="1" s="1"/>
  <c r="R25" i="1"/>
  <c r="T25" i="1" s="1"/>
  <c r="R62" i="1"/>
  <c r="T62" i="1" s="1"/>
  <c r="R29" i="1"/>
  <c r="T29" i="1" s="1"/>
  <c r="R32" i="1"/>
  <c r="T32" i="1" s="1"/>
  <c r="R27" i="1"/>
  <c r="T27" i="1" s="1"/>
  <c r="R49" i="1"/>
  <c r="T49" i="1" s="1"/>
  <c r="R61" i="1"/>
  <c r="T61" i="1" s="1"/>
  <c r="R95" i="1"/>
  <c r="T95" i="1" s="1"/>
  <c r="R39" i="1"/>
  <c r="T39" i="1" s="1"/>
  <c r="R21" i="1"/>
  <c r="T21" i="1" s="1"/>
  <c r="R30" i="1"/>
  <c r="T30" i="1" s="1"/>
  <c r="R83" i="1"/>
  <c r="T83" i="1" s="1"/>
  <c r="R68" i="1"/>
  <c r="T68" i="1" s="1"/>
  <c r="R58" i="1"/>
  <c r="T58" i="1" s="1"/>
  <c r="R81" i="1"/>
  <c r="T81" i="1" s="1"/>
  <c r="R64" i="1"/>
  <c r="T64" i="1" s="1"/>
  <c r="R82" i="1"/>
  <c r="T82" i="1" s="1"/>
  <c r="R47" i="1"/>
  <c r="T47" i="1" s="1"/>
  <c r="R22" i="1"/>
  <c r="T22" i="1" s="1"/>
  <c r="R63" i="1"/>
  <c r="T63" i="1" s="1"/>
  <c r="R87" i="1"/>
  <c r="T87" i="1" s="1"/>
  <c r="R90" i="1"/>
  <c r="T90" i="1" s="1"/>
  <c r="R48" i="1"/>
  <c r="T48" i="1" s="1"/>
  <c r="R34" i="1"/>
  <c r="T34" i="1" s="1"/>
  <c r="R44" i="1"/>
  <c r="R24" i="1"/>
  <c r="T24" i="1" s="1"/>
  <c r="R37" i="1"/>
  <c r="T37" i="1" s="1"/>
  <c r="R54" i="1"/>
  <c r="T54" i="1" s="1"/>
  <c r="R42" i="1"/>
  <c r="T42" i="1" s="1"/>
  <c r="R78" i="1"/>
  <c r="T78" i="1" s="1"/>
  <c r="K44" i="1"/>
  <c r="U44" i="1"/>
  <c r="O95" i="1"/>
  <c r="O90" i="1"/>
  <c r="C15" i="1"/>
  <c r="O94" i="1"/>
  <c r="O91" i="1"/>
  <c r="O79" i="1"/>
  <c r="O80" i="1"/>
  <c r="O92" i="1"/>
  <c r="O78" i="1"/>
  <c r="C16" i="1"/>
  <c r="D18" i="1" s="1"/>
  <c r="U95" i="1"/>
  <c r="F18" i="1" l="1"/>
  <c r="F19" i="1" s="1"/>
  <c r="E14" i="1"/>
  <c r="C18" i="1"/>
</calcChain>
</file>

<file path=xl/sharedStrings.xml><?xml version="1.0" encoding="utf-8"?>
<sst xmlns="http://schemas.openxmlformats.org/spreadsheetml/2006/main" count="543" uniqueCount="260">
  <si>
    <t>HH UMa / GSC 02521-01524</t>
  </si>
  <si>
    <t>n</t>
  </si>
  <si>
    <t>Q. Fit</t>
  </si>
  <si>
    <t>System Type:</t>
  </si>
  <si>
    <t>EW</t>
  </si>
  <si>
    <t>10.57-10.80</t>
  </si>
  <si>
    <t>aka HIP 54165</t>
  </si>
  <si>
    <t>F8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</si>
  <si>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</si>
  <si>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</si>
  <si>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</si>
  <si>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</si>
  <si>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</si>
  <si>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</si>
  <si>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</si>
  <si>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</si>
  <si>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</si>
  <si>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</si>
  <si>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</si>
  <si>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</si>
  <si>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</si>
  <si>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</si>
  <si>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dP/dt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</si>
  <si>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</si>
  <si>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</si>
  <si>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</si>
  <si>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</si>
  <si>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</si>
  <si>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</si>
  <si>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</si>
  <si>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</si>
  <si>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</si>
  <si>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</si>
  <si>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</si>
  <si>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</si>
  <si>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</si>
  <si>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</si>
  <si>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</si>
  <si>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</si>
  <si>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</si>
  <si>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</si>
  <si>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</si>
  <si>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</si>
  <si>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</si>
  <si>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</si>
  <si>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</si>
  <si>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</si>
  <si>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</si>
  <si>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</si>
  <si>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</si>
  <si>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</si>
  <si>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HIP</t>
  </si>
  <si>
    <t>IBVS 5414</t>
  </si>
  <si>
    <t>I</t>
  </si>
  <si>
    <t>RO</t>
  </si>
  <si>
    <t>VRI</t>
  </si>
  <si>
    <t>II</t>
  </si>
  <si>
    <t>G2</t>
  </si>
  <si>
    <t>UBV</t>
  </si>
  <si>
    <t>G1</t>
  </si>
  <si>
    <t>v</t>
  </si>
  <si>
    <t>BV</t>
  </si>
  <si>
    <t>IBVS 5543</t>
  </si>
  <si>
    <t>IBVS 5672</t>
  </si>
  <si>
    <t>IBVS 5668</t>
  </si>
  <si>
    <t>IBVS 5731</t>
  </si>
  <si>
    <t>IBVS 5760</t>
  </si>
  <si>
    <t>IBVS 5820</t>
  </si>
  <si>
    <t>IBVS 5898</t>
  </si>
  <si>
    <t>IBVS 5887</t>
  </si>
  <si>
    <t>IBVS 5929</t>
  </si>
  <si>
    <t>IBVS 5980</t>
  </si>
  <si>
    <t>IBVS 6044</t>
  </si>
  <si>
    <t>IBVS 6018</t>
  </si>
  <si>
    <t>IBVS 6092</t>
  </si>
  <si>
    <t>IBVS 6125</t>
  </si>
  <si>
    <t>IBVS 6165</t>
  </si>
  <si>
    <t>IBVS 6167</t>
  </si>
  <si>
    <t>IBVS 6131</t>
  </si>
  <si>
    <t>IBVS 6154</t>
  </si>
  <si>
    <t>IBVS 6195</t>
  </si>
  <si>
    <t>OEJV 0179</t>
  </si>
  <si>
    <t>IBVS 6209</t>
  </si>
  <si>
    <t>RHN 2019</t>
  </si>
  <si>
    <t>IBVS 6225</t>
  </si>
  <si>
    <t>OEJV 0203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</si>
  <si>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</si>
  <si>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</si>
  <si>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</si>
  <si>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</si>
  <si>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</si>
  <si>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</si>
  <si>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</si>
  <si>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2452368.3983 </t>
  </si>
  <si>
    <t> 03.04.2002 21:33 </t>
  </si>
  <si>
    <t> 0.0104 </t>
  </si>
  <si>
    <t>E </t>
  </si>
  <si>
    <t>?</t>
  </si>
  <si>
    <t> T.Pribulla et al. </t>
  </si>
  <si>
    <t>IBVS 5414 </t>
  </si>
  <si>
    <t>2452369.338 </t>
  </si>
  <si>
    <t> 04.04.2002 20:06 </t>
  </si>
  <si>
    <t> 0.011 </t>
  </si>
  <si>
    <t>2452369.5276 </t>
  </si>
  <si>
    <t> 05.04.2002 00:39 </t>
  </si>
  <si>
    <t> 0.0132 </t>
  </si>
  <si>
    <t>2452374.4074 </t>
  </si>
  <si>
    <t> 09.04.2002 21:46 </t>
  </si>
  <si>
    <t> 0.0116 </t>
  </si>
  <si>
    <t>2452374.5915 </t>
  </si>
  <si>
    <t> 10.04.2002 02:11 </t>
  </si>
  <si>
    <t> 0.0079 </t>
  </si>
  <si>
    <t>2452673.4881 </t>
  </si>
  <si>
    <t> 02.02.2003 23:42 </t>
  </si>
  <si>
    <t> 0.0120 </t>
  </si>
  <si>
    <t>2452682.4958 </t>
  </si>
  <si>
    <t> 11.02.2003 23:53 </t>
  </si>
  <si>
    <t>2452683.4364 </t>
  </si>
  <si>
    <t> 12.02.2003 22:28 </t>
  </si>
  <si>
    <t> 0.0098 </t>
  </si>
  <si>
    <t>2452683.6236 </t>
  </si>
  <si>
    <t> 13.02.2003 02:57 </t>
  </si>
  <si>
    <t> 0.0092 </t>
  </si>
  <si>
    <t>2452693.3863 </t>
  </si>
  <si>
    <t> 22.02.2003 21:16 </t>
  </si>
  <si>
    <t> 0.0091 </t>
  </si>
  <si>
    <t>2452693.3864 </t>
  </si>
  <si>
    <t>2452693.5772 </t>
  </si>
  <si>
    <t> 23.02.2003 01:51 </t>
  </si>
  <si>
    <t> 0.0123 </t>
  </si>
  <si>
    <t>2452695.4540 </t>
  </si>
  <si>
    <t> 24.02.2003 22:53 </t>
  </si>
  <si>
    <t>2452754.4057 </t>
  </si>
  <si>
    <t> 24.04.2003 21:44 </t>
  </si>
  <si>
    <t> 0.0109 </t>
  </si>
  <si>
    <t> M.Martignoni </t>
  </si>
  <si>
    <t> BBS 130 </t>
  </si>
  <si>
    <t>2453511.3923 </t>
  </si>
  <si>
    <t> 20.05.2005 21:24 </t>
  </si>
  <si>
    <t> 0.0034 </t>
  </si>
  <si>
    <t>IBVS 5668 </t>
  </si>
  <si>
    <t>2453834.3182 </t>
  </si>
  <si>
    <t> 08.04.2006 19:38 </t>
  </si>
  <si>
    <t> 0.0052 </t>
  </si>
  <si>
    <t>C </t>
  </si>
  <si>
    <t>-I</t>
  </si>
  <si>
    <t> F.Walter </t>
  </si>
  <si>
    <t>BAVM 178 </t>
  </si>
  <si>
    <t>2454085.894 </t>
  </si>
  <si>
    <t> 16.12.2006 09:27 </t>
  </si>
  <si>
    <t>4223</t>
  </si>
  <si>
    <t> 0.001 </t>
  </si>
  <si>
    <t>R</t>
  </si>
  <si>
    <t> R.Nelson </t>
  </si>
  <si>
    <t>IBVS 5760 </t>
  </si>
  <si>
    <t>2454418.9558 </t>
  </si>
  <si>
    <t> 14.11.2007 10:56 </t>
  </si>
  <si>
    <t>5110</t>
  </si>
  <si>
    <t> 0.0001 </t>
  </si>
  <si>
    <t>IBVS 5820 </t>
  </si>
  <si>
    <t>2454424.5872 </t>
  </si>
  <si>
    <t> 20.11.2007 02:05 </t>
  </si>
  <si>
    <t>5125</t>
  </si>
  <si>
    <t> -0.0009 </t>
  </si>
  <si>
    <t>o</t>
  </si>
  <si>
    <t> S.Parimucha et al. </t>
  </si>
  <si>
    <t>IBVS 5898 </t>
  </si>
  <si>
    <t>2454532.3577 </t>
  </si>
  <si>
    <t> 06.03.2008 20:35 </t>
  </si>
  <si>
    <t>5412</t>
  </si>
  <si>
    <t> 0.0030 </t>
  </si>
  <si>
    <t>2454532.5416 </t>
  </si>
  <si>
    <t> 07.03.2008 00:59 </t>
  </si>
  <si>
    <t>5412.5</t>
  </si>
  <si>
    <t> -0.0008 </t>
  </si>
  <si>
    <t>2454818.9856 </t>
  </si>
  <si>
    <t> 18.12.2008 11:39 </t>
  </si>
  <si>
    <t>6175.5</t>
  </si>
  <si>
    <t> -0.0580 </t>
  </si>
  <si>
    <t>m</t>
  </si>
  <si>
    <t> M.Pinarer &amp; H.Aslan </t>
  </si>
  <si>
    <t>IBVS 5887 </t>
  </si>
  <si>
    <t>2454833.4998 </t>
  </si>
  <si>
    <t> 01.01.2009 23:59 </t>
  </si>
  <si>
    <t>6214</t>
  </si>
  <si>
    <t> -0.0003 </t>
  </si>
  <si>
    <t> D.Öztürk &amp; Ö.Bastürk </t>
  </si>
  <si>
    <t>2454843.4501 </t>
  </si>
  <si>
    <t> 11.01.2009 22:48 </t>
  </si>
  <si>
    <t>6240.5</t>
  </si>
  <si>
    <t> -0.0006 </t>
  </si>
  <si>
    <t> N.Alan &amp; S.Suri </t>
  </si>
  <si>
    <t>2454852.4627 </t>
  </si>
  <si>
    <t> 20.01.2009 23:06 </t>
  </si>
  <si>
    <t>6264.5</t>
  </si>
  <si>
    <t> 0.0002 </t>
  </si>
  <si>
    <t> Z.Sahin &amp; G.Varol </t>
  </si>
  <si>
    <t>2454872.7367 </t>
  </si>
  <si>
    <t> 10.02.2009 05:40 </t>
  </si>
  <si>
    <t>6318.5</t>
  </si>
  <si>
    <t> -0.0025 </t>
  </si>
  <si>
    <t>IBVS 5929 </t>
  </si>
  <si>
    <t>2454912.3530 </t>
  </si>
  <si>
    <t> 21.03.2009 20:28 </t>
  </si>
  <si>
    <t>6424</t>
  </si>
  <si>
    <t> -0.0007 </t>
  </si>
  <si>
    <t>2454922.3052 </t>
  </si>
  <si>
    <t> 31.03.2009 19:19 </t>
  </si>
  <si>
    <t>6450.5</t>
  </si>
  <si>
    <t> 0.0010 </t>
  </si>
  <si>
    <t>2454932.4452 </t>
  </si>
  <si>
    <t> 10.04.2009 22:41 </t>
  </si>
  <si>
    <t>6477.5</t>
  </si>
  <si>
    <t> 0.0026 </t>
  </si>
  <si>
    <t> Ö.Bastürk &amp; H.Gürsoytrak </t>
  </si>
  <si>
    <t>2455272.4526 </t>
  </si>
  <si>
    <t> 16.03.2010 22:51 </t>
  </si>
  <si>
    <t>7383</t>
  </si>
  <si>
    <t>IBVS 5980 </t>
  </si>
  <si>
    <t>2455684.3666 </t>
  </si>
  <si>
    <t> 02.05.2011 20:47 </t>
  </si>
  <si>
    <t>8480</t>
  </si>
  <si>
    <t>IBVS 6044 </t>
  </si>
  <si>
    <t>2456304.8716 </t>
  </si>
  <si>
    <t> 12.01.2013 08:55 </t>
  </si>
  <si>
    <t>10132.5</t>
  </si>
  <si>
    <t> 0.0018 </t>
  </si>
  <si>
    <t>IBVS 6092 </t>
  </si>
  <si>
    <t>2456357.2530 </t>
  </si>
  <si>
    <t> 05.03.2013 18:04 </t>
  </si>
  <si>
    <t>10272</t>
  </si>
  <si>
    <t> 0.0019 </t>
  </si>
  <si>
    <t> Z.Avci </t>
  </si>
  <si>
    <t>IBVS 6125 </t>
  </si>
  <si>
    <t>2457021.8797 </t>
  </si>
  <si>
    <t> 30.12.2014 09:06 </t>
  </si>
  <si>
    <t>12042</t>
  </si>
  <si>
    <t> 0.0058 </t>
  </si>
  <si>
    <t>IBVS 6131 </t>
  </si>
  <si>
    <t>2453717.9116 </t>
  </si>
  <si>
    <t> 13.12.2005 09:52 </t>
  </si>
  <si>
    <t> 0.0015 </t>
  </si>
  <si>
    <t>IBVS 5672 </t>
  </si>
  <si>
    <t>2455907.97429 </t>
  </si>
  <si>
    <t> 12.12.2011 11:22 </t>
  </si>
  <si>
    <t>9075.5</t>
  </si>
  <si>
    <t> 0.00066 </t>
  </si>
  <si>
    <t>IBVS 6018 </t>
  </si>
  <si>
    <t>HH UMa - Hipparcos data</t>
  </si>
  <si>
    <t>Epoch</t>
  </si>
  <si>
    <t>Period</t>
  </si>
  <si>
    <t>HJD</t>
  </si>
  <si>
    <t>Mag</t>
  </si>
  <si>
    <t>Phase</t>
  </si>
  <si>
    <t>-Mag</t>
  </si>
  <si>
    <t>RHN 2021</t>
  </si>
  <si>
    <t>as of 2021-12-16</t>
  </si>
  <si>
    <t>BAD?</t>
  </si>
  <si>
    <t>JAVSO 49, 106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</si>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</sst>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0.0000"/>
  </numFmts>
  <fonts count="23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i/>
      <sz val="10"/>
      <color indexed="2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ill="0" applyBorder="0" applyProtection="0">
      <alignment vertical="top"/>
    </xf>
    <xf numFmtId="164" fontId="21" fillId="0" borderId="0" applyFill="0" applyBorder="0" applyProtection="0">
      <alignment vertical="top"/>
    </xf>
    <xf numFmtId="0" fontId="21" fillId="0" borderId="0" applyFill="0" applyBorder="0" applyProtection="0">
      <alignment vertical="top"/>
    </xf>
    <xf numFmtId="2" fontId="21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1" fillId="0" borderId="0"/>
    <xf numFmtId="0" fontId="21" fillId="0" borderId="0"/>
  </cellStyleXfs>
  <cellXfs count="7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1" fillId="2" borderId="16" xfId="0" applyFont="1" applyFill="1" applyBorder="1" applyAlignment="1">
      <alignment horizontal="left" vertical="top" wrapText="1" inden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right" vertical="top" wrapText="1"/>
    </xf>
    <xf numFmtId="0" fontId="16" fillId="2" borderId="16" xfId="5" applyNumberFormat="1" applyFill="1" applyBorder="1" applyAlignment="1" applyProtection="1">
      <alignment horizontal="right" vertical="top" wrapText="1"/>
    </xf>
    <xf numFmtId="0" fontId="17" fillId="0" borderId="0" xfId="0" applyFont="1" applyAlignment="1"/>
    <xf numFmtId="0" fontId="12" fillId="0" borderId="0" xfId="0" applyFont="1" applyAlignment="1">
      <alignment horizontal="left" vertical="center"/>
    </xf>
    <xf numFmtId="14" fontId="0" fillId="0" borderId="0" xfId="0" applyNumberFormat="1" applyAlignment="1"/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0" fontId="11" fillId="0" borderId="0" xfId="6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0656081924185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9026366408144"/>
          <c:y val="0.13793124560890602"/>
          <c:w val="0.84098427973254974"/>
          <c:h val="0.667712620788567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-1.0317000007489696E-2</c:v>
                </c:pt>
                <c:pt idx="1">
                  <c:v>2.6269999994838145E-2</c:v>
                </c:pt>
                <c:pt idx="2">
                  <c:v>-8.1210000062128529E-3</c:v>
                </c:pt>
                <c:pt idx="3">
                  <c:v>1.4074999991862569E-2</c:v>
                </c:pt>
                <c:pt idx="4">
                  <c:v>-1.5304000007745344E-2</c:v>
                </c:pt>
                <c:pt idx="5">
                  <c:v>-6.1770000029355288E-3</c:v>
                </c:pt>
                <c:pt idx="6">
                  <c:v>3.3579999944777228E-3</c:v>
                </c:pt>
                <c:pt idx="7">
                  <c:v>1.7677999996521976E-2</c:v>
                </c:pt>
                <c:pt idx="8">
                  <c:v>-6.6290000031585805E-3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5-4D9A-810C-102B36F1140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26">
                  <c:v>-1.6109000003780238E-2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F5-4D9A-810C-102B36F1140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33">
                  <c:v>-2.4043000004894566E-2</c:v>
                </c:pt>
                <c:pt idx="34">
                  <c:v>-2.4334000001545064E-2</c:v>
                </c:pt>
                <c:pt idx="35">
                  <c:v>-2.3590000011608936E-2</c:v>
                </c:pt>
                <c:pt idx="39">
                  <c:v>-2.1312000004400034E-2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F5-4D9A-810C-102B36F1140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9">
                  <c:v>-7.4330000061308965E-3</c:v>
                </c:pt>
                <c:pt idx="10">
                  <c:v>-6.4679999995860271E-3</c:v>
                </c:pt>
                <c:pt idx="11">
                  <c:v>-4.6150000052875839E-3</c:v>
                </c:pt>
                <c:pt idx="12">
                  <c:v>-6.2370000086957589E-3</c:v>
                </c:pt>
                <c:pt idx="13">
                  <c:v>-9.8840000064228661E-3</c:v>
                </c:pt>
                <c:pt idx="14">
                  <c:v>-6.5080000058514997E-3</c:v>
                </c:pt>
                <c:pt idx="15">
                  <c:v>-1.0664000008546282E-2</c:v>
                </c:pt>
                <c:pt idx="16">
                  <c:v>-8.7990000101854093E-3</c:v>
                </c:pt>
                <c:pt idx="17">
                  <c:v>-9.3460000061895698E-3</c:v>
                </c:pt>
                <c:pt idx="18">
                  <c:v>-9.4900000040070154E-3</c:v>
                </c:pt>
                <c:pt idx="19">
                  <c:v>-9.3899999992572702E-3</c:v>
                </c:pt>
                <c:pt idx="20">
                  <c:v>-6.3370000061695464E-3</c:v>
                </c:pt>
                <c:pt idx="21">
                  <c:v>-7.0070000074338168E-3</c:v>
                </c:pt>
                <c:pt idx="22">
                  <c:v>-7.8649999995832331E-3</c:v>
                </c:pt>
                <c:pt idx="23">
                  <c:v>-4.7079000003577676E-2</c:v>
                </c:pt>
                <c:pt idx="24">
                  <c:v>-1.7169000006106216E-2</c:v>
                </c:pt>
                <c:pt idx="25">
                  <c:v>-1.9594264791521709E-2</c:v>
                </c:pt>
                <c:pt idx="27">
                  <c:v>-2.1289000003889669E-2</c:v>
                </c:pt>
                <c:pt idx="28">
                  <c:v>-2.2667000004730653E-2</c:v>
                </c:pt>
                <c:pt idx="29">
                  <c:v>-2.3677000004681759E-2</c:v>
                </c:pt>
                <c:pt idx="30">
                  <c:v>-1.9955000003392342E-2</c:v>
                </c:pt>
                <c:pt idx="31">
                  <c:v>-2.380200001061894E-2</c:v>
                </c:pt>
                <c:pt idx="36">
                  <c:v>-2.6266000000759959E-2</c:v>
                </c:pt>
                <c:pt idx="37">
                  <c:v>-2.4583000005804934E-2</c:v>
                </c:pt>
                <c:pt idx="38">
                  <c:v>-2.2974000006797723E-2</c:v>
                </c:pt>
                <c:pt idx="40">
                  <c:v>-2.3729000007733703E-2</c:v>
                </c:pt>
                <c:pt idx="41">
                  <c:v>-2.6647000006050803E-2</c:v>
                </c:pt>
                <c:pt idx="42">
                  <c:v>-2.5638997336500324E-2</c:v>
                </c:pt>
                <c:pt idx="43">
                  <c:v>-2.5482000004558358E-2</c:v>
                </c:pt>
                <c:pt idx="44">
                  <c:v>-2.5495000008959323E-2</c:v>
                </c:pt>
                <c:pt idx="45">
                  <c:v>-2.3257000008015893E-2</c:v>
                </c:pt>
                <c:pt idx="46">
                  <c:v>-2.2332000007736497E-2</c:v>
                </c:pt>
                <c:pt idx="47">
                  <c:v>-2.2478000006231014E-2</c:v>
                </c:pt>
                <c:pt idx="48">
                  <c:v>-2.3148000000219326E-2</c:v>
                </c:pt>
                <c:pt idx="49">
                  <c:v>-2.409500000794651E-2</c:v>
                </c:pt>
                <c:pt idx="50">
                  <c:v>-2.5669000002380926E-2</c:v>
                </c:pt>
                <c:pt idx="51">
                  <c:v>-2.3938999998790678E-2</c:v>
                </c:pt>
                <c:pt idx="52">
                  <c:v>-2.3586000002978835E-2</c:v>
                </c:pt>
                <c:pt idx="53">
                  <c:v>-2.3121000005630776E-2</c:v>
                </c:pt>
                <c:pt idx="54">
                  <c:v>-2.1025000009103678E-2</c:v>
                </c:pt>
                <c:pt idx="55">
                  <c:v>-2.8212000011990312E-2</c:v>
                </c:pt>
                <c:pt idx="56">
                  <c:v>-2.0459000006667338E-2</c:v>
                </c:pt>
                <c:pt idx="57">
                  <c:v>-2.9231000007712282E-2</c:v>
                </c:pt>
                <c:pt idx="58">
                  <c:v>-2.7719000005163252E-2</c:v>
                </c:pt>
                <c:pt idx="59">
                  <c:v>-3.2005000000935979E-2</c:v>
                </c:pt>
                <c:pt idx="60">
                  <c:v>-2.3175000009359792E-2</c:v>
                </c:pt>
                <c:pt idx="61">
                  <c:v>-2.1302000001014676E-2</c:v>
                </c:pt>
                <c:pt idx="62">
                  <c:v>-2.0856000010098796E-2</c:v>
                </c:pt>
                <c:pt idx="63">
                  <c:v>-1.9568032497772947E-2</c:v>
                </c:pt>
                <c:pt idx="64">
                  <c:v>-1.8480000006093178E-2</c:v>
                </c:pt>
                <c:pt idx="65">
                  <c:v>-1.8218000004708301E-2</c:v>
                </c:pt>
                <c:pt idx="66">
                  <c:v>-1.9649000001663808E-2</c:v>
                </c:pt>
                <c:pt idx="67">
                  <c:v>-2.0483000007516239E-2</c:v>
                </c:pt>
                <c:pt idx="68">
                  <c:v>-2.096400001028087E-2</c:v>
                </c:pt>
                <c:pt idx="70">
                  <c:v>-1.5840000000025611E-2</c:v>
                </c:pt>
                <c:pt idx="71">
                  <c:v>-2.0026999998663086E-2</c:v>
                </c:pt>
                <c:pt idx="72">
                  <c:v>-2.3736000002827495E-2</c:v>
                </c:pt>
                <c:pt idx="73">
                  <c:v>-3.19900000031339E-2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F5-4D9A-810C-102B36F1140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F5-4D9A-810C-102B36F114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F5-4D9A-810C-102B36F114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F5-4D9A-810C-102B36F1140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57">
                  <c:v>-4.5668445886985348E-2</c:v>
                </c:pt>
                <c:pt idx="58">
                  <c:v>-4.5656008482759219E-2</c:v>
                </c:pt>
                <c:pt idx="59">
                  <c:v>-4.5537853142610912E-2</c:v>
                </c:pt>
                <c:pt idx="69">
                  <c:v>-2.2152423846415553E-2</c:v>
                </c:pt>
                <c:pt idx="70">
                  <c:v>-2.1353320624886207E-2</c:v>
                </c:pt>
                <c:pt idx="71">
                  <c:v>-2.0862043157953758E-2</c:v>
                </c:pt>
                <c:pt idx="73">
                  <c:v>1.2734270135147663E-3</c:v>
                </c:pt>
                <c:pt idx="74">
                  <c:v>1.4879722364156411E-3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F5-4D9A-810C-102B36F1140C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1'!$V$2:$V$132</c:f>
              <c:numCache>
                <c:formatCode>General</c:formatCode>
                <c:ptCount val="13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'Active 1'!$W$2:$W$132</c:f>
              <c:numCache>
                <c:formatCode>General</c:formatCode>
                <c:ptCount val="131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  <c:pt idx="32">
                  <c:v>5.5148954335185463E-3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F5-4D9A-810C-102B36F1140C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1'!$U$21:$U$992</c:f>
              <c:numCache>
                <c:formatCode>General</c:formatCode>
                <c:ptCount val="972"/>
                <c:pt idx="23">
                  <c:v>-4.7079000003577676E-2</c:v>
                </c:pt>
                <c:pt idx="32">
                  <c:v>-8.1724000003305264E-2</c:v>
                </c:pt>
                <c:pt idx="69">
                  <c:v>5.701799999224022E-2</c:v>
                </c:pt>
                <c:pt idx="74">
                  <c:v>3.6366999993333593E-2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1F5-4D9A-810C-102B36F1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5432"/>
        <c:axId val="1"/>
      </c:scatterChart>
      <c:valAx>
        <c:axId val="1215835432"/>
        <c:scaling>
          <c:orientation val="minMax"/>
          <c:max val="35000"/>
          <c:min val="1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327937696312544"/>
              <c:y val="0.87774426315832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950819672131147E-2"/>
              <c:y val="0.37617620681427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35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032786885245903E-2"/>
          <c:y val="0.92790100297023992"/>
          <c:w val="0.8836072458155844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33387888707037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3708967165793"/>
          <c:y val="0.15713910761154853"/>
          <c:w val="0.84028970660059321"/>
          <c:h val="0.617860892388451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1'!$H$21:$H$92</c:f>
              <c:numCache>
                <c:formatCode>General</c:formatCode>
                <c:ptCount val="72"/>
                <c:pt idx="0">
                  <c:v>-1.0317000007489696E-2</c:v>
                </c:pt>
                <c:pt idx="1">
                  <c:v>2.6269999994838145E-2</c:v>
                </c:pt>
                <c:pt idx="2">
                  <c:v>-8.1210000062128529E-3</c:v>
                </c:pt>
                <c:pt idx="3">
                  <c:v>1.4074999991862569E-2</c:v>
                </c:pt>
                <c:pt idx="4">
                  <c:v>-1.5304000007745344E-2</c:v>
                </c:pt>
                <c:pt idx="5">
                  <c:v>-6.1770000029355288E-3</c:v>
                </c:pt>
                <c:pt idx="6">
                  <c:v>3.3579999944777228E-3</c:v>
                </c:pt>
                <c:pt idx="7">
                  <c:v>1.7677999996521976E-2</c:v>
                </c:pt>
                <c:pt idx="8">
                  <c:v>-6.6290000031585805E-3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74-4943-A78F-4DED083AC29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1'!$I$21:$I$92</c:f>
              <c:numCache>
                <c:formatCode>General</c:formatCode>
                <c:ptCount val="72"/>
                <c:pt idx="26">
                  <c:v>-1.6109000003780238E-2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74-4943-A78F-4DED083AC29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1'!$J$21:$J$92</c:f>
              <c:numCache>
                <c:formatCode>General</c:formatCode>
                <c:ptCount val="72"/>
                <c:pt idx="33">
                  <c:v>-2.4043000004894566E-2</c:v>
                </c:pt>
                <c:pt idx="34">
                  <c:v>-2.4334000001545064E-2</c:v>
                </c:pt>
                <c:pt idx="35">
                  <c:v>-2.3590000011608936E-2</c:v>
                </c:pt>
                <c:pt idx="39">
                  <c:v>-2.1312000004400034E-2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74-4943-A78F-4DED083AC29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  <c:pt idx="9">
                  <c:v>-7.4330000061308965E-3</c:v>
                </c:pt>
                <c:pt idx="10">
                  <c:v>-6.4679999995860271E-3</c:v>
                </c:pt>
                <c:pt idx="11">
                  <c:v>-4.6150000052875839E-3</c:v>
                </c:pt>
                <c:pt idx="12">
                  <c:v>-6.2370000086957589E-3</c:v>
                </c:pt>
                <c:pt idx="13">
                  <c:v>-9.8840000064228661E-3</c:v>
                </c:pt>
                <c:pt idx="14">
                  <c:v>-6.5080000058514997E-3</c:v>
                </c:pt>
                <c:pt idx="15">
                  <c:v>-1.0664000008546282E-2</c:v>
                </c:pt>
                <c:pt idx="16">
                  <c:v>-8.7990000101854093E-3</c:v>
                </c:pt>
                <c:pt idx="17">
                  <c:v>-9.3460000061895698E-3</c:v>
                </c:pt>
                <c:pt idx="18">
                  <c:v>-9.4900000040070154E-3</c:v>
                </c:pt>
                <c:pt idx="19">
                  <c:v>-9.3899999992572702E-3</c:v>
                </c:pt>
                <c:pt idx="20">
                  <c:v>-6.3370000061695464E-3</c:v>
                </c:pt>
                <c:pt idx="21">
                  <c:v>-7.0070000074338168E-3</c:v>
                </c:pt>
                <c:pt idx="22">
                  <c:v>-7.8649999995832331E-3</c:v>
                </c:pt>
                <c:pt idx="23">
                  <c:v>-4.7079000003577676E-2</c:v>
                </c:pt>
                <c:pt idx="24">
                  <c:v>-1.7169000006106216E-2</c:v>
                </c:pt>
                <c:pt idx="25">
                  <c:v>-1.9594264791521709E-2</c:v>
                </c:pt>
                <c:pt idx="27">
                  <c:v>-2.1289000003889669E-2</c:v>
                </c:pt>
                <c:pt idx="28">
                  <c:v>-2.2667000004730653E-2</c:v>
                </c:pt>
                <c:pt idx="29">
                  <c:v>-2.3677000004681759E-2</c:v>
                </c:pt>
                <c:pt idx="30">
                  <c:v>-1.9955000003392342E-2</c:v>
                </c:pt>
                <c:pt idx="31">
                  <c:v>-2.380200001061894E-2</c:v>
                </c:pt>
                <c:pt idx="36">
                  <c:v>-2.6266000000759959E-2</c:v>
                </c:pt>
                <c:pt idx="37">
                  <c:v>-2.4583000005804934E-2</c:v>
                </c:pt>
                <c:pt idx="38">
                  <c:v>-2.2974000006797723E-2</c:v>
                </c:pt>
                <c:pt idx="40">
                  <c:v>-2.3729000007733703E-2</c:v>
                </c:pt>
                <c:pt idx="41">
                  <c:v>-2.6647000006050803E-2</c:v>
                </c:pt>
                <c:pt idx="42">
                  <c:v>-2.5638997336500324E-2</c:v>
                </c:pt>
                <c:pt idx="43">
                  <c:v>-2.5482000004558358E-2</c:v>
                </c:pt>
                <c:pt idx="44">
                  <c:v>-2.5495000008959323E-2</c:v>
                </c:pt>
                <c:pt idx="45">
                  <c:v>-2.3257000008015893E-2</c:v>
                </c:pt>
                <c:pt idx="46">
                  <c:v>-2.2332000007736497E-2</c:v>
                </c:pt>
                <c:pt idx="47">
                  <c:v>-2.2478000006231014E-2</c:v>
                </c:pt>
                <c:pt idx="48">
                  <c:v>-2.3148000000219326E-2</c:v>
                </c:pt>
                <c:pt idx="49">
                  <c:v>-2.409500000794651E-2</c:v>
                </c:pt>
                <c:pt idx="50">
                  <c:v>-2.5669000002380926E-2</c:v>
                </c:pt>
                <c:pt idx="51">
                  <c:v>-2.3938999998790678E-2</c:v>
                </c:pt>
                <c:pt idx="52">
                  <c:v>-2.3586000002978835E-2</c:v>
                </c:pt>
                <c:pt idx="53">
                  <c:v>-2.3121000005630776E-2</c:v>
                </c:pt>
                <c:pt idx="54">
                  <c:v>-2.1025000009103678E-2</c:v>
                </c:pt>
                <c:pt idx="55">
                  <c:v>-2.8212000011990312E-2</c:v>
                </c:pt>
                <c:pt idx="56">
                  <c:v>-2.0459000006667338E-2</c:v>
                </c:pt>
                <c:pt idx="57">
                  <c:v>-2.9231000007712282E-2</c:v>
                </c:pt>
                <c:pt idx="58">
                  <c:v>-2.7719000005163252E-2</c:v>
                </c:pt>
                <c:pt idx="59">
                  <c:v>-3.2005000000935979E-2</c:v>
                </c:pt>
                <c:pt idx="60">
                  <c:v>-2.3175000009359792E-2</c:v>
                </c:pt>
                <c:pt idx="61">
                  <c:v>-2.1302000001014676E-2</c:v>
                </c:pt>
                <c:pt idx="62">
                  <c:v>-2.0856000010098796E-2</c:v>
                </c:pt>
                <c:pt idx="63">
                  <c:v>-1.9568032497772947E-2</c:v>
                </c:pt>
                <c:pt idx="64">
                  <c:v>-1.8480000006093178E-2</c:v>
                </c:pt>
                <c:pt idx="65">
                  <c:v>-1.8218000004708301E-2</c:v>
                </c:pt>
                <c:pt idx="66">
                  <c:v>-1.9649000001663808E-2</c:v>
                </c:pt>
                <c:pt idx="67">
                  <c:v>-2.0483000007516239E-2</c:v>
                </c:pt>
                <c:pt idx="68">
                  <c:v>-2.096400001028087E-2</c:v>
                </c:pt>
                <c:pt idx="70">
                  <c:v>-1.5840000000025611E-2</c:v>
                </c:pt>
                <c:pt idx="71">
                  <c:v>-2.0026999998663086E-2</c:v>
                </c:pt>
                <c:pt idx="72">
                  <c:v>-2.3736000002827495E-2</c:v>
                </c:pt>
                <c:pt idx="73">
                  <c:v>-3.19900000031339E-2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74-4943-A78F-4DED083AC29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1'!$L$21:$L$92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74-4943-A78F-4DED083AC29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1'!$M$21:$M$92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74-4943-A78F-4DED083AC29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1'!$N$21:$N$92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74-4943-A78F-4DED083AC29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1'!$O$21:$O$92</c:f>
              <c:numCache>
                <c:formatCode>General</c:formatCode>
                <c:ptCount val="72"/>
                <c:pt idx="57">
                  <c:v>-4.5668445886985348E-2</c:v>
                </c:pt>
                <c:pt idx="58">
                  <c:v>-4.5656008482759219E-2</c:v>
                </c:pt>
                <c:pt idx="59">
                  <c:v>-4.5537853142610912E-2</c:v>
                </c:pt>
                <c:pt idx="69">
                  <c:v>-2.2152423846415553E-2</c:v>
                </c:pt>
                <c:pt idx="70">
                  <c:v>-2.1353320624886207E-2</c:v>
                </c:pt>
                <c:pt idx="71">
                  <c:v>-2.0862043157953758E-2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74-4943-A78F-4DED083AC29C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1'!$V$2:$V$33</c:f>
              <c:numCache>
                <c:formatCode>General</c:formatCode>
                <c:ptCount val="3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</c:numCache>
            </c:numRef>
          </c:xVal>
          <c:yVal>
            <c:numRef>
              <c:f>'Active 1'!$W$2:$W$33</c:f>
              <c:numCache>
                <c:formatCode>General</c:formatCode>
                <c:ptCount val="32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74-4943-A78F-4DED083AC29C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1'!$F$21:$F$92</c:f>
              <c:numCache>
                <c:formatCode>General</c:formatCode>
                <c:ptCount val="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</c:numCache>
            </c:numRef>
          </c:xVal>
          <c:yVal>
            <c:numRef>
              <c:f>'Active 1'!$U$21:$U$92</c:f>
              <c:numCache>
                <c:formatCode>General</c:formatCode>
                <c:ptCount val="72"/>
                <c:pt idx="23">
                  <c:v>-4.7079000003577676E-2</c:v>
                </c:pt>
                <c:pt idx="32">
                  <c:v>-8.1724000003305264E-2</c:v>
                </c:pt>
                <c:pt idx="69">
                  <c:v>5.701799999224022E-2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074-4943-A78F-4DED083A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5792"/>
        <c:axId val="1"/>
      </c:scatterChart>
      <c:valAx>
        <c:axId val="1215835792"/>
        <c:scaling>
          <c:orientation val="minMax"/>
          <c:max val="35000"/>
          <c:min val="-5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49427168576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01168594470323E-2"/>
              <c:y val="0.40530983931886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35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33060556464818E-3"/>
          <c:y val="0.91249999999999998"/>
          <c:w val="0.92471358428805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17021276595744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6628477905073"/>
          <c:y val="0.13750000000000001"/>
          <c:w val="0.85106382978723405"/>
          <c:h val="0.66874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-1.0317000007489696E-2</c:v>
                </c:pt>
                <c:pt idx="1">
                  <c:v>2.6269999994838145E-2</c:v>
                </c:pt>
                <c:pt idx="2">
                  <c:v>-8.1210000062128529E-3</c:v>
                </c:pt>
                <c:pt idx="3">
                  <c:v>1.4074999991862569E-2</c:v>
                </c:pt>
                <c:pt idx="4">
                  <c:v>-1.5304000007745344E-2</c:v>
                </c:pt>
                <c:pt idx="5">
                  <c:v>-6.1770000029355288E-3</c:v>
                </c:pt>
                <c:pt idx="6">
                  <c:v>3.3579999944777228E-3</c:v>
                </c:pt>
                <c:pt idx="7">
                  <c:v>1.7677999996521976E-2</c:v>
                </c:pt>
                <c:pt idx="8">
                  <c:v>-6.6290000031585805E-3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56-4A22-91F8-9BC194C0506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26">
                  <c:v>-1.6109000003780238E-2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56-4A22-91F8-9BC194C0506A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33">
                  <c:v>-2.4043000004894566E-2</c:v>
                </c:pt>
                <c:pt idx="34">
                  <c:v>-2.4334000001545064E-2</c:v>
                </c:pt>
                <c:pt idx="35">
                  <c:v>-2.3590000011608936E-2</c:v>
                </c:pt>
                <c:pt idx="39">
                  <c:v>-2.1312000004400034E-2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56-4A22-91F8-9BC194C0506A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9">
                  <c:v>-7.4330000061308965E-3</c:v>
                </c:pt>
                <c:pt idx="10">
                  <c:v>-6.4679999995860271E-3</c:v>
                </c:pt>
                <c:pt idx="11">
                  <c:v>-4.6150000052875839E-3</c:v>
                </c:pt>
                <c:pt idx="12">
                  <c:v>-6.2370000086957589E-3</c:v>
                </c:pt>
                <c:pt idx="13">
                  <c:v>-9.8840000064228661E-3</c:v>
                </c:pt>
                <c:pt idx="14">
                  <c:v>-6.5080000058514997E-3</c:v>
                </c:pt>
                <c:pt idx="15">
                  <c:v>-1.0664000008546282E-2</c:v>
                </c:pt>
                <c:pt idx="16">
                  <c:v>-8.7990000101854093E-3</c:v>
                </c:pt>
                <c:pt idx="17">
                  <c:v>-9.3460000061895698E-3</c:v>
                </c:pt>
                <c:pt idx="18">
                  <c:v>-9.4900000040070154E-3</c:v>
                </c:pt>
                <c:pt idx="19">
                  <c:v>-9.3899999992572702E-3</c:v>
                </c:pt>
                <c:pt idx="20">
                  <c:v>-6.3370000061695464E-3</c:v>
                </c:pt>
                <c:pt idx="21">
                  <c:v>-7.0070000074338168E-3</c:v>
                </c:pt>
                <c:pt idx="22">
                  <c:v>-7.8649999995832331E-3</c:v>
                </c:pt>
                <c:pt idx="23">
                  <c:v>-4.7079000003577676E-2</c:v>
                </c:pt>
                <c:pt idx="24">
                  <c:v>-1.7169000006106216E-2</c:v>
                </c:pt>
                <c:pt idx="25">
                  <c:v>-1.9594264791521709E-2</c:v>
                </c:pt>
                <c:pt idx="27">
                  <c:v>-2.1289000003889669E-2</c:v>
                </c:pt>
                <c:pt idx="28">
                  <c:v>-2.2667000004730653E-2</c:v>
                </c:pt>
                <c:pt idx="29">
                  <c:v>-2.3677000004681759E-2</c:v>
                </c:pt>
                <c:pt idx="30">
                  <c:v>-1.9955000003392342E-2</c:v>
                </c:pt>
                <c:pt idx="31">
                  <c:v>-2.380200001061894E-2</c:v>
                </c:pt>
                <c:pt idx="36">
                  <c:v>-2.6266000000759959E-2</c:v>
                </c:pt>
                <c:pt idx="37">
                  <c:v>-2.4583000005804934E-2</c:v>
                </c:pt>
                <c:pt idx="38">
                  <c:v>-2.2974000006797723E-2</c:v>
                </c:pt>
                <c:pt idx="40">
                  <c:v>-2.3729000007733703E-2</c:v>
                </c:pt>
                <c:pt idx="41">
                  <c:v>-2.6647000006050803E-2</c:v>
                </c:pt>
                <c:pt idx="42">
                  <c:v>-2.5638997336500324E-2</c:v>
                </c:pt>
                <c:pt idx="43">
                  <c:v>-2.5482000004558358E-2</c:v>
                </c:pt>
                <c:pt idx="44">
                  <c:v>-2.5495000008959323E-2</c:v>
                </c:pt>
                <c:pt idx="45">
                  <c:v>-2.3257000008015893E-2</c:v>
                </c:pt>
                <c:pt idx="46">
                  <c:v>-2.2332000007736497E-2</c:v>
                </c:pt>
                <c:pt idx="47">
                  <c:v>-2.2478000006231014E-2</c:v>
                </c:pt>
                <c:pt idx="48">
                  <c:v>-2.3148000000219326E-2</c:v>
                </c:pt>
                <c:pt idx="49">
                  <c:v>-2.409500000794651E-2</c:v>
                </c:pt>
                <c:pt idx="50">
                  <c:v>-2.5669000002380926E-2</c:v>
                </c:pt>
                <c:pt idx="51">
                  <c:v>-2.3938999998790678E-2</c:v>
                </c:pt>
                <c:pt idx="52">
                  <c:v>-2.3586000002978835E-2</c:v>
                </c:pt>
                <c:pt idx="53">
                  <c:v>-2.3121000005630776E-2</c:v>
                </c:pt>
                <c:pt idx="54">
                  <c:v>-2.1025000009103678E-2</c:v>
                </c:pt>
                <c:pt idx="55">
                  <c:v>-2.8212000011990312E-2</c:v>
                </c:pt>
                <c:pt idx="56">
                  <c:v>-2.0459000006667338E-2</c:v>
                </c:pt>
                <c:pt idx="57">
                  <c:v>-2.9231000007712282E-2</c:v>
                </c:pt>
                <c:pt idx="58">
                  <c:v>-2.7719000005163252E-2</c:v>
                </c:pt>
                <c:pt idx="59">
                  <c:v>-3.2005000000935979E-2</c:v>
                </c:pt>
                <c:pt idx="60">
                  <c:v>-2.3175000009359792E-2</c:v>
                </c:pt>
                <c:pt idx="61">
                  <c:v>-2.1302000001014676E-2</c:v>
                </c:pt>
                <c:pt idx="62">
                  <c:v>-2.0856000010098796E-2</c:v>
                </c:pt>
                <c:pt idx="63">
                  <c:v>-1.9568032497772947E-2</c:v>
                </c:pt>
                <c:pt idx="64">
                  <c:v>-1.8480000006093178E-2</c:v>
                </c:pt>
                <c:pt idx="65">
                  <c:v>-1.8218000004708301E-2</c:v>
                </c:pt>
                <c:pt idx="66">
                  <c:v>-1.9649000001663808E-2</c:v>
                </c:pt>
                <c:pt idx="67">
                  <c:v>-2.0483000007516239E-2</c:v>
                </c:pt>
                <c:pt idx="68">
                  <c:v>-2.096400001028087E-2</c:v>
                </c:pt>
                <c:pt idx="70">
                  <c:v>-1.5840000000025611E-2</c:v>
                </c:pt>
                <c:pt idx="71">
                  <c:v>-2.0026999998663086E-2</c:v>
                </c:pt>
                <c:pt idx="72">
                  <c:v>-2.3736000002827495E-2</c:v>
                </c:pt>
                <c:pt idx="73">
                  <c:v>-3.19900000031339E-2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56-4A22-91F8-9BC194C0506A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56-4A22-91F8-9BC194C0506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56-4A22-91F8-9BC194C0506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56-4A22-91F8-9BC194C0506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57">
                  <c:v>-4.5668445886985348E-2</c:v>
                </c:pt>
                <c:pt idx="58">
                  <c:v>-4.5656008482759219E-2</c:v>
                </c:pt>
                <c:pt idx="59">
                  <c:v>-4.5537853142610912E-2</c:v>
                </c:pt>
                <c:pt idx="69">
                  <c:v>-2.2152423846415553E-2</c:v>
                </c:pt>
                <c:pt idx="70">
                  <c:v>-2.1353320624886207E-2</c:v>
                </c:pt>
                <c:pt idx="71">
                  <c:v>-2.0862043157953758E-2</c:v>
                </c:pt>
                <c:pt idx="73">
                  <c:v>1.2734270135147663E-3</c:v>
                </c:pt>
                <c:pt idx="74">
                  <c:v>1.4879722364156411E-3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56-4A22-91F8-9BC194C0506A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1'!$V$2:$V$132</c:f>
              <c:numCache>
                <c:formatCode>General</c:formatCode>
                <c:ptCount val="13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'Active 1'!$W$2:$W$132</c:f>
              <c:numCache>
                <c:formatCode>General</c:formatCode>
                <c:ptCount val="131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  <c:pt idx="32">
                  <c:v>5.5148954335185463E-3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56-4A22-91F8-9BC194C0506A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249.5</c:v>
                </c:pt>
                <c:pt idx="2">
                  <c:v>866</c:v>
                </c:pt>
                <c:pt idx="3">
                  <c:v>927</c:v>
                </c:pt>
                <c:pt idx="4">
                  <c:v>1725.5</c:v>
                </c:pt>
                <c:pt idx="5">
                  <c:v>1850</c:v>
                </c:pt>
                <c:pt idx="6">
                  <c:v>2417.5</c:v>
                </c:pt>
                <c:pt idx="7">
                  <c:v>2417.5</c:v>
                </c:pt>
                <c:pt idx="8">
                  <c:v>2418</c:v>
                </c:pt>
                <c:pt idx="9">
                  <c:v>11919</c:v>
                </c:pt>
                <c:pt idx="10">
                  <c:v>11921.5</c:v>
                </c:pt>
                <c:pt idx="11">
                  <c:v>11922</c:v>
                </c:pt>
                <c:pt idx="12">
                  <c:v>11935</c:v>
                </c:pt>
                <c:pt idx="13">
                  <c:v>11935.5</c:v>
                </c:pt>
                <c:pt idx="14">
                  <c:v>12731.5</c:v>
                </c:pt>
                <c:pt idx="15">
                  <c:v>12755.5</c:v>
                </c:pt>
                <c:pt idx="16">
                  <c:v>12758</c:v>
                </c:pt>
                <c:pt idx="17">
                  <c:v>12758.5</c:v>
                </c:pt>
                <c:pt idx="18">
                  <c:v>12784.5</c:v>
                </c:pt>
                <c:pt idx="19">
                  <c:v>12784.5</c:v>
                </c:pt>
                <c:pt idx="20">
                  <c:v>12785</c:v>
                </c:pt>
                <c:pt idx="21">
                  <c:v>12790</c:v>
                </c:pt>
                <c:pt idx="22">
                  <c:v>12947</c:v>
                </c:pt>
                <c:pt idx="23">
                  <c:v>14778</c:v>
                </c:pt>
                <c:pt idx="24">
                  <c:v>14963</c:v>
                </c:pt>
                <c:pt idx="25">
                  <c:v>15513</c:v>
                </c:pt>
                <c:pt idx="26">
                  <c:v>15823</c:v>
                </c:pt>
                <c:pt idx="27">
                  <c:v>16493</c:v>
                </c:pt>
                <c:pt idx="28">
                  <c:v>17380</c:v>
                </c:pt>
                <c:pt idx="29">
                  <c:v>17395</c:v>
                </c:pt>
                <c:pt idx="30">
                  <c:v>17682</c:v>
                </c:pt>
                <c:pt idx="31">
                  <c:v>17682.5</c:v>
                </c:pt>
                <c:pt idx="32">
                  <c:v>18445.5</c:v>
                </c:pt>
                <c:pt idx="33">
                  <c:v>18484</c:v>
                </c:pt>
                <c:pt idx="34">
                  <c:v>18510.5</c:v>
                </c:pt>
                <c:pt idx="35">
                  <c:v>18534.5</c:v>
                </c:pt>
                <c:pt idx="36">
                  <c:v>18588.5</c:v>
                </c:pt>
                <c:pt idx="37">
                  <c:v>18694</c:v>
                </c:pt>
                <c:pt idx="38">
                  <c:v>18720.5</c:v>
                </c:pt>
                <c:pt idx="39">
                  <c:v>18747.5</c:v>
                </c:pt>
                <c:pt idx="40">
                  <c:v>19653</c:v>
                </c:pt>
                <c:pt idx="41">
                  <c:v>20750</c:v>
                </c:pt>
                <c:pt idx="42">
                  <c:v>21345.5</c:v>
                </c:pt>
                <c:pt idx="43">
                  <c:v>22402.5</c:v>
                </c:pt>
                <c:pt idx="44">
                  <c:v>22542</c:v>
                </c:pt>
                <c:pt idx="45">
                  <c:v>22665</c:v>
                </c:pt>
                <c:pt idx="46">
                  <c:v>23227.5</c:v>
                </c:pt>
                <c:pt idx="47">
                  <c:v>23336.5</c:v>
                </c:pt>
                <c:pt idx="48">
                  <c:v>23341.5</c:v>
                </c:pt>
                <c:pt idx="49">
                  <c:v>23342</c:v>
                </c:pt>
                <c:pt idx="50">
                  <c:v>23363</c:v>
                </c:pt>
                <c:pt idx="51">
                  <c:v>23368</c:v>
                </c:pt>
                <c:pt idx="52">
                  <c:v>23368.5</c:v>
                </c:pt>
                <c:pt idx="53">
                  <c:v>23371</c:v>
                </c:pt>
                <c:pt idx="54">
                  <c:v>23387</c:v>
                </c:pt>
                <c:pt idx="55">
                  <c:v>23397.5</c:v>
                </c:pt>
                <c:pt idx="56">
                  <c:v>23398</c:v>
                </c:pt>
                <c:pt idx="57">
                  <c:v>23536</c:v>
                </c:pt>
                <c:pt idx="58">
                  <c:v>23538</c:v>
                </c:pt>
                <c:pt idx="59">
                  <c:v>23557</c:v>
                </c:pt>
                <c:pt idx="60">
                  <c:v>24312</c:v>
                </c:pt>
                <c:pt idx="61">
                  <c:v>24582.5</c:v>
                </c:pt>
                <c:pt idx="62">
                  <c:v>25123.5</c:v>
                </c:pt>
                <c:pt idx="63">
                  <c:v>25172.5</c:v>
                </c:pt>
                <c:pt idx="64">
                  <c:v>25419.5</c:v>
                </c:pt>
                <c:pt idx="65">
                  <c:v>25506.5</c:v>
                </c:pt>
                <c:pt idx="66">
                  <c:v>25533</c:v>
                </c:pt>
                <c:pt idx="67">
                  <c:v>25544</c:v>
                </c:pt>
                <c:pt idx="68">
                  <c:v>25655.5</c:v>
                </c:pt>
                <c:pt idx="69">
                  <c:v>27317.5</c:v>
                </c:pt>
                <c:pt idx="70">
                  <c:v>27446</c:v>
                </c:pt>
                <c:pt idx="71">
                  <c:v>27525</c:v>
                </c:pt>
                <c:pt idx="72">
                  <c:v>28343.5</c:v>
                </c:pt>
                <c:pt idx="73">
                  <c:v>31084.5</c:v>
                </c:pt>
                <c:pt idx="74">
                  <c:v>31119</c:v>
                </c:pt>
              </c:numCache>
            </c:numRef>
          </c:xVal>
          <c:yVal>
            <c:numRef>
              <c:f>'Active 1'!$U$21:$U$992</c:f>
              <c:numCache>
                <c:formatCode>General</c:formatCode>
                <c:ptCount val="972"/>
                <c:pt idx="23">
                  <c:v>-4.7079000003577676E-2</c:v>
                </c:pt>
                <c:pt idx="32">
                  <c:v>-8.1724000003305264E-2</c:v>
                </c:pt>
                <c:pt idx="69">
                  <c:v>5.701799999224022E-2</c:v>
                </c:pt>
                <c:pt idx="74">
                  <c:v>3.6366999993333593E-2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556-4A22-91F8-9BC194C05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40112"/>
        <c:axId val="1"/>
      </c:scatterChart>
      <c:valAx>
        <c:axId val="1215840112"/>
        <c:scaling>
          <c:orientation val="minMax"/>
          <c:max val="32000"/>
          <c:min val="1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343698854337151"/>
              <c:y val="0.878125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913256955810146E-2"/>
              <c:y val="0.3781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401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3093289689034371E-2"/>
          <c:y val="0.92812499999999998"/>
          <c:w val="0.8821603927986906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= HIP 54165</a:t>
            </a:r>
          </a:p>
        </c:rich>
      </c:tx>
      <c:layout>
        <c:manualLayout>
          <c:xMode val="edge"/>
          <c:yMode val="edge"/>
          <c:x val="0.3402259585972806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3248954829354"/>
          <c:y val="0.18610444384940564"/>
          <c:w val="0.75188038934040669"/>
          <c:h val="0.6104225758260505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B!$E$11:$E$140</c:f>
              <c:numCache>
                <c:formatCode>General</c:formatCode>
                <c:ptCount val="130"/>
                <c:pt idx="0">
                  <c:v>0.47252419478365326</c:v>
                </c:pt>
                <c:pt idx="1">
                  <c:v>0.48234592297831114</c:v>
                </c:pt>
                <c:pt idx="2">
                  <c:v>8.9428858964311075E-3</c:v>
                </c:pt>
                <c:pt idx="3">
                  <c:v>4.7079314180336951E-2</c:v>
                </c:pt>
                <c:pt idx="4">
                  <c:v>0.47837249062934006</c:v>
                </c:pt>
                <c:pt idx="5">
                  <c:v>0.53748395445734332</c:v>
                </c:pt>
                <c:pt idx="6">
                  <c:v>0.48354967056798159</c:v>
                </c:pt>
                <c:pt idx="7">
                  <c:v>6.9961171140818124E-2</c:v>
                </c:pt>
                <c:pt idx="8">
                  <c:v>0.95924302385196825</c:v>
                </c:pt>
                <c:pt idx="9">
                  <c:v>0.51650891891335959</c:v>
                </c:pt>
                <c:pt idx="10">
                  <c:v>3.187800604291624E-2</c:v>
                </c:pt>
                <c:pt idx="11">
                  <c:v>6.7686833879861297E-2</c:v>
                </c:pt>
                <c:pt idx="12">
                  <c:v>0.52050898283596325</c:v>
                </c:pt>
                <c:pt idx="13">
                  <c:v>0.51066062306757865</c:v>
                </c:pt>
                <c:pt idx="14">
                  <c:v>4.5902198175298281E-2</c:v>
                </c:pt>
                <c:pt idx="15">
                  <c:v>0.44543987387692141</c:v>
                </c:pt>
                <c:pt idx="16">
                  <c:v>0.56182522222610487</c:v>
                </c:pt>
                <c:pt idx="17">
                  <c:v>0.4130239098394668</c:v>
                </c:pt>
                <c:pt idx="18">
                  <c:v>0.42206266944435811</c:v>
                </c:pt>
                <c:pt idx="19">
                  <c:v>0.95520034940130927</c:v>
                </c:pt>
                <c:pt idx="20">
                  <c:v>0.55847496896123516</c:v>
                </c:pt>
                <c:pt idx="21">
                  <c:v>0.51025049667754274</c:v>
                </c:pt>
                <c:pt idx="22">
                  <c:v>0.93486447186228361</c:v>
                </c:pt>
                <c:pt idx="23">
                  <c:v>0.94434531576030167</c:v>
                </c:pt>
                <c:pt idx="24">
                  <c:v>7.8190330580412137E-3</c:v>
                </c:pt>
                <c:pt idx="25">
                  <c:v>0.10709092555703137</c:v>
                </c:pt>
                <c:pt idx="26">
                  <c:v>0.97302753171993572</c:v>
                </c:pt>
                <c:pt idx="27">
                  <c:v>0.96867593090803439</c:v>
                </c:pt>
                <c:pt idx="28">
                  <c:v>0.46621783569548825</c:v>
                </c:pt>
                <c:pt idx="29">
                  <c:v>0.99735282054280106</c:v>
                </c:pt>
                <c:pt idx="30">
                  <c:v>9.4217217837240241E-2</c:v>
                </c:pt>
                <c:pt idx="31">
                  <c:v>0.91556189979226588</c:v>
                </c:pt>
                <c:pt idx="32">
                  <c:v>0.42802814424493363</c:v>
                </c:pt>
                <c:pt idx="33">
                  <c:v>0.92364724867456971</c:v>
                </c:pt>
                <c:pt idx="34">
                  <c:v>0.18674066695075453</c:v>
                </c:pt>
                <c:pt idx="35">
                  <c:v>0.42693624930825536</c:v>
                </c:pt>
                <c:pt idx="36">
                  <c:v>0.57562038274124916</c:v>
                </c:pt>
                <c:pt idx="37">
                  <c:v>0.43277921884055104</c:v>
                </c:pt>
                <c:pt idx="38">
                  <c:v>0.16042866197494732</c:v>
                </c:pt>
                <c:pt idx="39">
                  <c:v>6.3590896252435414E-2</c:v>
                </c:pt>
                <c:pt idx="40">
                  <c:v>0.85746243614903506</c:v>
                </c:pt>
                <c:pt idx="41">
                  <c:v>0.54838692496147701</c:v>
                </c:pt>
                <c:pt idx="42">
                  <c:v>0.10579663057069411</c:v>
                </c:pt>
                <c:pt idx="43">
                  <c:v>0.87742547150836003</c:v>
                </c:pt>
                <c:pt idx="44">
                  <c:v>0.1222656021172952</c:v>
                </c:pt>
                <c:pt idx="45">
                  <c:v>0.38400613590079047</c:v>
                </c:pt>
                <c:pt idx="46">
                  <c:v>0.91709055271041962</c:v>
                </c:pt>
                <c:pt idx="47">
                  <c:v>8.8395553590146392E-2</c:v>
                </c:pt>
                <c:pt idx="48">
                  <c:v>0.87036277544257246</c:v>
                </c:pt>
                <c:pt idx="49">
                  <c:v>0.86904184886316216</c:v>
                </c:pt>
                <c:pt idx="50">
                  <c:v>0.81040442723269734</c:v>
                </c:pt>
                <c:pt idx="51">
                  <c:v>0.58750339551846764</c:v>
                </c:pt>
                <c:pt idx="52">
                  <c:v>0.59655813407852065</c:v>
                </c:pt>
                <c:pt idx="53">
                  <c:v>0.9085258352999972</c:v>
                </c:pt>
                <c:pt idx="54">
                  <c:v>0.61161563166999144</c:v>
                </c:pt>
                <c:pt idx="55">
                  <c:v>0.33577101097915829</c:v>
                </c:pt>
                <c:pt idx="56">
                  <c:v>7.2118329446141161E-2</c:v>
                </c:pt>
                <c:pt idx="57">
                  <c:v>0.1264787186880767</c:v>
                </c:pt>
                <c:pt idx="58">
                  <c:v>0.11412699004918636</c:v>
                </c:pt>
                <c:pt idx="59">
                  <c:v>0.9061556243098039</c:v>
                </c:pt>
                <c:pt idx="60">
                  <c:v>0.38879982102434951</c:v>
                </c:pt>
                <c:pt idx="61">
                  <c:v>0.47078248919797261</c:v>
                </c:pt>
                <c:pt idx="62">
                  <c:v>0.37483421838888376</c:v>
                </c:pt>
                <c:pt idx="63">
                  <c:v>0.62563982380240191</c:v>
                </c:pt>
                <c:pt idx="64">
                  <c:v>0.62070765444150311</c:v>
                </c:pt>
                <c:pt idx="65">
                  <c:v>0.79517648750208991</c:v>
                </c:pt>
                <c:pt idx="66">
                  <c:v>0.17151272723640432</c:v>
                </c:pt>
                <c:pt idx="67">
                  <c:v>0.32509707211164596</c:v>
                </c:pt>
                <c:pt idx="68">
                  <c:v>0.88551082040976326</c:v>
                </c:pt>
                <c:pt idx="69">
                  <c:v>6.0959695766797495E-2</c:v>
                </c:pt>
                <c:pt idx="70">
                  <c:v>0.59990838734336194</c:v>
                </c:pt>
                <c:pt idx="71">
                  <c:v>0.15379207123186234</c:v>
                </c:pt>
                <c:pt idx="72">
                  <c:v>0.86908445939798185</c:v>
                </c:pt>
                <c:pt idx="73">
                  <c:v>0.14528061698820238</c:v>
                </c:pt>
                <c:pt idx="74">
                  <c:v>0.33889223262679025</c:v>
                </c:pt>
                <c:pt idx="75">
                  <c:v>0.83098531533892128</c:v>
                </c:pt>
                <c:pt idx="76">
                  <c:v>0.84829051861783</c:v>
                </c:pt>
                <c:pt idx="77">
                  <c:v>0.64312079552973955</c:v>
                </c:pt>
                <c:pt idx="78">
                  <c:v>0.63360799373504051</c:v>
                </c:pt>
                <c:pt idx="79">
                  <c:v>0.39146830575009517</c:v>
                </c:pt>
                <c:pt idx="80">
                  <c:v>0.19020809919402382</c:v>
                </c:pt>
                <c:pt idx="81">
                  <c:v>0.8332596526193754</c:v>
                </c:pt>
                <c:pt idx="82">
                  <c:v>0.15209830250296363</c:v>
                </c:pt>
                <c:pt idx="83">
                  <c:v>0.7722679989487915</c:v>
                </c:pt>
                <c:pt idx="84">
                  <c:v>0.36318023722890302</c:v>
                </c:pt>
                <c:pt idx="85">
                  <c:v>0.3599098787043431</c:v>
                </c:pt>
                <c:pt idx="86">
                  <c:v>0.24564440443737112</c:v>
                </c:pt>
                <c:pt idx="87">
                  <c:v>0.19137988889011126</c:v>
                </c:pt>
                <c:pt idx="88">
                  <c:v>0.34703617101115469</c:v>
                </c:pt>
                <c:pt idx="89">
                  <c:v>0.63238294085715552</c:v>
                </c:pt>
                <c:pt idx="90">
                  <c:v>0.32177345043979244</c:v>
                </c:pt>
                <c:pt idx="91">
                  <c:v>0.79850010919329861</c:v>
                </c:pt>
                <c:pt idx="92">
                  <c:v>0.15474015563586363</c:v>
                </c:pt>
                <c:pt idx="93">
                  <c:v>9.9096124031348154E-2</c:v>
                </c:pt>
                <c:pt idx="94">
                  <c:v>0.22946305400739675</c:v>
                </c:pt>
                <c:pt idx="95">
                  <c:v>0.6812572238136454</c:v>
                </c:pt>
                <c:pt idx="96">
                  <c:v>0.28378083270217758</c:v>
                </c:pt>
                <c:pt idx="97">
                  <c:v>0.75326370062077785</c:v>
                </c:pt>
                <c:pt idx="98">
                  <c:v>0.30881984798696749</c:v>
                </c:pt>
                <c:pt idx="99">
                  <c:v>0.35330524587334367</c:v>
                </c:pt>
                <c:pt idx="100">
                  <c:v>0.64075058456052147</c:v>
                </c:pt>
                <c:pt idx="101">
                  <c:v>0.30029241479314805</c:v>
                </c:pt>
                <c:pt idx="102">
                  <c:v>0.11038791565636075</c:v>
                </c:pt>
                <c:pt idx="103">
                  <c:v>0.67883374965842336</c:v>
                </c:pt>
                <c:pt idx="104">
                  <c:v>0.26220924967583414</c:v>
                </c:pt>
                <c:pt idx="105">
                  <c:v>0.82425817722594275</c:v>
                </c:pt>
                <c:pt idx="106">
                  <c:v>0.29768784588125641</c:v>
                </c:pt>
                <c:pt idx="107">
                  <c:v>0.78514170664959693</c:v>
                </c:pt>
                <c:pt idx="108">
                  <c:v>0.19594454237335412</c:v>
                </c:pt>
                <c:pt idx="109">
                  <c:v>0.15221015514708824</c:v>
                </c:pt>
                <c:pt idx="110">
                  <c:v>0.13232701454739981</c:v>
                </c:pt>
                <c:pt idx="111">
                  <c:v>0.68036240259590386</c:v>
                </c:pt>
                <c:pt idx="112">
                  <c:v>0.20972905026064836</c:v>
                </c:pt>
                <c:pt idx="113">
                  <c:v>0.65884408272563633</c:v>
                </c:pt>
                <c:pt idx="114">
                  <c:v>0.29315515027224137</c:v>
                </c:pt>
                <c:pt idx="115">
                  <c:v>0.64972542836090952</c:v>
                </c:pt>
                <c:pt idx="116">
                  <c:v>0.19192849951576818</c:v>
                </c:pt>
                <c:pt idx="117">
                  <c:v>0.69386461567626156</c:v>
                </c:pt>
                <c:pt idx="118">
                  <c:v>0.22493035840125231</c:v>
                </c:pt>
                <c:pt idx="119">
                  <c:v>0.70294598580994716</c:v>
                </c:pt>
                <c:pt idx="120">
                  <c:v>0.71849883086048294</c:v>
                </c:pt>
                <c:pt idx="121">
                  <c:v>0.74703190995867885</c:v>
                </c:pt>
                <c:pt idx="122">
                  <c:v>0.30072917276925182</c:v>
                </c:pt>
                <c:pt idx="123">
                  <c:v>0.66475629435939254</c:v>
                </c:pt>
                <c:pt idx="124">
                  <c:v>0.24454718317250013</c:v>
                </c:pt>
                <c:pt idx="125">
                  <c:v>0.73194778079354705</c:v>
                </c:pt>
                <c:pt idx="126">
                  <c:v>0.71512727233687201</c:v>
                </c:pt>
                <c:pt idx="127">
                  <c:v>0.25493882724799732</c:v>
                </c:pt>
                <c:pt idx="128">
                  <c:v>0.23408097065725997</c:v>
                </c:pt>
                <c:pt idx="129">
                  <c:v>0.67177105359269262</c:v>
                </c:pt>
              </c:numCache>
            </c:numRef>
          </c:xVal>
          <c:yVal>
            <c:numRef>
              <c:f>B!$F$11:$F$140</c:f>
              <c:numCache>
                <c:formatCode>General</c:formatCode>
                <c:ptCount val="130"/>
                <c:pt idx="0">
                  <c:v>-10.859500000000001</c:v>
                </c:pt>
                <c:pt idx="1">
                  <c:v>-10.850099999999999</c:v>
                </c:pt>
                <c:pt idx="2">
                  <c:v>-10.8421</c:v>
                </c:pt>
                <c:pt idx="3">
                  <c:v>-10.839399999999999</c:v>
                </c:pt>
                <c:pt idx="4">
                  <c:v>-10.807700000000001</c:v>
                </c:pt>
                <c:pt idx="5">
                  <c:v>-10.801299999999999</c:v>
                </c:pt>
                <c:pt idx="6">
                  <c:v>-10.8012</c:v>
                </c:pt>
                <c:pt idx="7">
                  <c:v>-10.7951</c:v>
                </c:pt>
                <c:pt idx="8">
                  <c:v>-10.7943</c:v>
                </c:pt>
                <c:pt idx="9">
                  <c:v>-10.7874</c:v>
                </c:pt>
                <c:pt idx="10">
                  <c:v>-10.7798</c:v>
                </c:pt>
                <c:pt idx="11">
                  <c:v>-10.774900000000001</c:v>
                </c:pt>
                <c:pt idx="12">
                  <c:v>-10.770099999999999</c:v>
                </c:pt>
                <c:pt idx="13">
                  <c:v>-10.7691</c:v>
                </c:pt>
                <c:pt idx="14">
                  <c:v>-10.7683</c:v>
                </c:pt>
                <c:pt idx="15">
                  <c:v>-10.767899999999999</c:v>
                </c:pt>
                <c:pt idx="16">
                  <c:v>-10.7674</c:v>
                </c:pt>
                <c:pt idx="17">
                  <c:v>-10.763999999999999</c:v>
                </c:pt>
                <c:pt idx="18">
                  <c:v>-10.7629</c:v>
                </c:pt>
                <c:pt idx="19">
                  <c:v>-10.761900000000001</c:v>
                </c:pt>
                <c:pt idx="20">
                  <c:v>-10.7615</c:v>
                </c:pt>
                <c:pt idx="21">
                  <c:v>-10.7585</c:v>
                </c:pt>
                <c:pt idx="22">
                  <c:v>-10.7583</c:v>
                </c:pt>
                <c:pt idx="23">
                  <c:v>-10.7559</c:v>
                </c:pt>
                <c:pt idx="24">
                  <c:v>-10.7554</c:v>
                </c:pt>
                <c:pt idx="25">
                  <c:v>-10.750299999999999</c:v>
                </c:pt>
                <c:pt idx="26">
                  <c:v>-10.7464</c:v>
                </c:pt>
                <c:pt idx="27">
                  <c:v>-10.7438</c:v>
                </c:pt>
                <c:pt idx="28">
                  <c:v>-10.737399999999999</c:v>
                </c:pt>
                <c:pt idx="29">
                  <c:v>-10.735200000000001</c:v>
                </c:pt>
                <c:pt idx="30">
                  <c:v>-10.734299999999999</c:v>
                </c:pt>
                <c:pt idx="31">
                  <c:v>-10.725899999999999</c:v>
                </c:pt>
                <c:pt idx="32">
                  <c:v>-10.7224</c:v>
                </c:pt>
                <c:pt idx="33">
                  <c:v>-10.722300000000001</c:v>
                </c:pt>
                <c:pt idx="34">
                  <c:v>-10.722099999999999</c:v>
                </c:pt>
                <c:pt idx="35">
                  <c:v>-10.7195</c:v>
                </c:pt>
                <c:pt idx="36">
                  <c:v>-10.719099999999999</c:v>
                </c:pt>
                <c:pt idx="37">
                  <c:v>-10.7171</c:v>
                </c:pt>
                <c:pt idx="38">
                  <c:v>-10.715299999999999</c:v>
                </c:pt>
                <c:pt idx="39">
                  <c:v>-10.711600000000001</c:v>
                </c:pt>
                <c:pt idx="40">
                  <c:v>-10.705299999999999</c:v>
                </c:pt>
                <c:pt idx="41">
                  <c:v>-10.705</c:v>
                </c:pt>
                <c:pt idx="42">
                  <c:v>-10.7027</c:v>
                </c:pt>
                <c:pt idx="43">
                  <c:v>-10.7019</c:v>
                </c:pt>
                <c:pt idx="44">
                  <c:v>-10.7013</c:v>
                </c:pt>
                <c:pt idx="45">
                  <c:v>-10.699299999999999</c:v>
                </c:pt>
                <c:pt idx="46">
                  <c:v>-10.6953</c:v>
                </c:pt>
                <c:pt idx="47">
                  <c:v>-10.6929</c:v>
                </c:pt>
                <c:pt idx="48">
                  <c:v>-10.6912</c:v>
                </c:pt>
                <c:pt idx="49">
                  <c:v>-10.6907</c:v>
                </c:pt>
                <c:pt idx="50">
                  <c:v>-10.6883</c:v>
                </c:pt>
                <c:pt idx="51">
                  <c:v>-10.686199999999999</c:v>
                </c:pt>
                <c:pt idx="52">
                  <c:v>-10.684100000000001</c:v>
                </c:pt>
                <c:pt idx="53">
                  <c:v>-10.683299999999999</c:v>
                </c:pt>
                <c:pt idx="54">
                  <c:v>-10.681800000000001</c:v>
                </c:pt>
                <c:pt idx="55">
                  <c:v>-10.6798</c:v>
                </c:pt>
                <c:pt idx="56">
                  <c:v>-10.678800000000001</c:v>
                </c:pt>
                <c:pt idx="57">
                  <c:v>-10.6768</c:v>
                </c:pt>
                <c:pt idx="58">
                  <c:v>-10.6752</c:v>
                </c:pt>
                <c:pt idx="59">
                  <c:v>-10.6746</c:v>
                </c:pt>
                <c:pt idx="60">
                  <c:v>-10.6732</c:v>
                </c:pt>
                <c:pt idx="61">
                  <c:v>-10.670400000000001</c:v>
                </c:pt>
                <c:pt idx="62">
                  <c:v>-10.669499999999999</c:v>
                </c:pt>
                <c:pt idx="63">
                  <c:v>-10.6678</c:v>
                </c:pt>
                <c:pt idx="64">
                  <c:v>-10.665900000000001</c:v>
                </c:pt>
                <c:pt idx="65">
                  <c:v>-10.665800000000001</c:v>
                </c:pt>
                <c:pt idx="66">
                  <c:v>-10.665699999999999</c:v>
                </c:pt>
                <c:pt idx="67">
                  <c:v>-10.6607</c:v>
                </c:pt>
                <c:pt idx="68">
                  <c:v>-10.6591</c:v>
                </c:pt>
                <c:pt idx="69">
                  <c:v>-10.659000000000001</c:v>
                </c:pt>
                <c:pt idx="70">
                  <c:v>-10.6585</c:v>
                </c:pt>
                <c:pt idx="71">
                  <c:v>-10.6576</c:v>
                </c:pt>
                <c:pt idx="72">
                  <c:v>-10.6576</c:v>
                </c:pt>
                <c:pt idx="73">
                  <c:v>-10.657500000000001</c:v>
                </c:pt>
                <c:pt idx="74">
                  <c:v>-10.6557</c:v>
                </c:pt>
                <c:pt idx="75">
                  <c:v>-10.6531</c:v>
                </c:pt>
                <c:pt idx="76">
                  <c:v>-10.6508</c:v>
                </c:pt>
                <c:pt idx="77">
                  <c:v>-10.6508</c:v>
                </c:pt>
                <c:pt idx="78">
                  <c:v>-10.650600000000001</c:v>
                </c:pt>
                <c:pt idx="79">
                  <c:v>-10.6456</c:v>
                </c:pt>
                <c:pt idx="80">
                  <c:v>-10.6455</c:v>
                </c:pt>
                <c:pt idx="81">
                  <c:v>-10.6404</c:v>
                </c:pt>
                <c:pt idx="82">
                  <c:v>-10.6393</c:v>
                </c:pt>
                <c:pt idx="83">
                  <c:v>-10.6358</c:v>
                </c:pt>
                <c:pt idx="84">
                  <c:v>-10.6357</c:v>
                </c:pt>
                <c:pt idx="85">
                  <c:v>-10.6335</c:v>
                </c:pt>
                <c:pt idx="86">
                  <c:v>-10.6332</c:v>
                </c:pt>
                <c:pt idx="87">
                  <c:v>-10.631399999999999</c:v>
                </c:pt>
                <c:pt idx="88">
                  <c:v>-10.6295</c:v>
                </c:pt>
                <c:pt idx="89">
                  <c:v>-10.626300000000001</c:v>
                </c:pt>
                <c:pt idx="90">
                  <c:v>-10.6234</c:v>
                </c:pt>
                <c:pt idx="91">
                  <c:v>-10.6227</c:v>
                </c:pt>
                <c:pt idx="92">
                  <c:v>-10.6189</c:v>
                </c:pt>
                <c:pt idx="93">
                  <c:v>-10.6165</c:v>
                </c:pt>
                <c:pt idx="94">
                  <c:v>-10.616400000000001</c:v>
                </c:pt>
                <c:pt idx="95">
                  <c:v>-10.616099999999999</c:v>
                </c:pt>
                <c:pt idx="96">
                  <c:v>-10.614800000000001</c:v>
                </c:pt>
                <c:pt idx="97">
                  <c:v>-10.614100000000001</c:v>
                </c:pt>
                <c:pt idx="98">
                  <c:v>-10.613</c:v>
                </c:pt>
                <c:pt idx="99">
                  <c:v>-10.613</c:v>
                </c:pt>
                <c:pt idx="100">
                  <c:v>-10.612</c:v>
                </c:pt>
                <c:pt idx="101">
                  <c:v>-10.6119</c:v>
                </c:pt>
                <c:pt idx="102">
                  <c:v>-10.6112</c:v>
                </c:pt>
                <c:pt idx="103">
                  <c:v>-10.6097</c:v>
                </c:pt>
                <c:pt idx="104">
                  <c:v>-10.6092</c:v>
                </c:pt>
                <c:pt idx="105">
                  <c:v>-10.6088</c:v>
                </c:pt>
                <c:pt idx="106">
                  <c:v>-10.6058</c:v>
                </c:pt>
                <c:pt idx="107">
                  <c:v>-10.604799999999999</c:v>
                </c:pt>
                <c:pt idx="108">
                  <c:v>-10.603999999999999</c:v>
                </c:pt>
                <c:pt idx="109">
                  <c:v>-10.6038</c:v>
                </c:pt>
                <c:pt idx="110">
                  <c:v>-10.6022</c:v>
                </c:pt>
                <c:pt idx="111">
                  <c:v>-10.598699999999999</c:v>
                </c:pt>
                <c:pt idx="112">
                  <c:v>-10.5954</c:v>
                </c:pt>
                <c:pt idx="113">
                  <c:v>-10.5915</c:v>
                </c:pt>
                <c:pt idx="114">
                  <c:v>-10.5905</c:v>
                </c:pt>
                <c:pt idx="115">
                  <c:v>-10.5885</c:v>
                </c:pt>
                <c:pt idx="116">
                  <c:v>-10.586499999999999</c:v>
                </c:pt>
                <c:pt idx="117">
                  <c:v>-10.5854</c:v>
                </c:pt>
                <c:pt idx="118">
                  <c:v>-10.5852</c:v>
                </c:pt>
                <c:pt idx="119">
                  <c:v>-10.5848</c:v>
                </c:pt>
                <c:pt idx="120">
                  <c:v>-10.578799999999999</c:v>
                </c:pt>
                <c:pt idx="121">
                  <c:v>-10.5748</c:v>
                </c:pt>
                <c:pt idx="122">
                  <c:v>-10.570399999999999</c:v>
                </c:pt>
                <c:pt idx="123">
                  <c:v>-10.5677</c:v>
                </c:pt>
                <c:pt idx="124">
                  <c:v>-10.565300000000001</c:v>
                </c:pt>
                <c:pt idx="125">
                  <c:v>-10.5547</c:v>
                </c:pt>
                <c:pt idx="126">
                  <c:v>-10.552</c:v>
                </c:pt>
                <c:pt idx="127">
                  <c:v>-10.5413</c:v>
                </c:pt>
                <c:pt idx="128">
                  <c:v>-10.536</c:v>
                </c:pt>
                <c:pt idx="129">
                  <c:v>-10.521699999999999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3-42CC-B989-7F6E8B73A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07576"/>
        <c:axId val="1"/>
      </c:scatterChart>
      <c:valAx>
        <c:axId val="1120407576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50563949243186701"/>
              <c:y val="0.87593156314517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C-V  (mags)</a:t>
                </a:r>
              </a:p>
            </c:rich>
          </c:tx>
          <c:layout>
            <c:manualLayout>
              <c:xMode val="edge"/>
              <c:yMode val="edge"/>
              <c:x val="2.819548872180451E-2"/>
              <c:y val="0.389578684798395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07576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466724</xdr:colOff>
      <xdr:row>18</xdr:row>
      <xdr:rowOff>133350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F930EB5-44CF-7CC7-9B8F-AE92804FE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38100</xdr:rowOff>
    </xdr:from>
    <xdr:to>
      <xdr:col>27</xdr:col>
      <xdr:colOff>0</xdr:colOff>
      <xdr:row>18</xdr:row>
      <xdr:rowOff>152400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F2C1023C-AB44-BC83-301C-DE6CA3FC7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11</xdr:col>
      <xdr:colOff>561975</xdr:colOff>
      <xdr:row>20</xdr:row>
      <xdr:rowOff>152400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3658FC61-8F7D-28D2-ADFB-3A92A71C6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190500</xdr:colOff>
      <xdr:row>23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C3D72966-83FE-20CD-44C0-4E1927436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14" TargetMode="External"/><Relationship Id="rId13" Type="http://schemas.openxmlformats.org/officeDocument/2006/relationships/hyperlink" Target="http://www.konkoly.hu/cgi-bin/IBVS?5414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konkoly.hu/cgi-bin/IBVS?5898" TargetMode="External"/><Relationship Id="rId3" Type="http://schemas.openxmlformats.org/officeDocument/2006/relationships/hyperlink" Target="http://www.konkoly.hu/cgi-bin/IBVS?5414" TargetMode="External"/><Relationship Id="rId21" Type="http://schemas.openxmlformats.org/officeDocument/2006/relationships/hyperlink" Target="http://www.konkoly.hu/cgi-bin/IBVS?5887" TargetMode="External"/><Relationship Id="rId34" Type="http://schemas.openxmlformats.org/officeDocument/2006/relationships/hyperlink" Target="http://www.konkoly.hu/cgi-bin/IBVS?5672" TargetMode="External"/><Relationship Id="rId7" Type="http://schemas.openxmlformats.org/officeDocument/2006/relationships/hyperlink" Target="http://www.konkoly.hu/cgi-bin/IBVS?5414" TargetMode="External"/><Relationship Id="rId12" Type="http://schemas.openxmlformats.org/officeDocument/2006/relationships/hyperlink" Target="http://www.konkoly.hu/cgi-bin/IBVS?5414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www.konkoly.hu/cgi-bin/IBVS?5929" TargetMode="External"/><Relationship Id="rId33" Type="http://schemas.openxmlformats.org/officeDocument/2006/relationships/hyperlink" Target="http://www.konkoly.hu/cgi-bin/IBVS?6131" TargetMode="External"/><Relationship Id="rId2" Type="http://schemas.openxmlformats.org/officeDocument/2006/relationships/hyperlink" Target="http://www.konkoly.hu/cgi-bin/IBVS?5414" TargetMode="External"/><Relationship Id="rId16" Type="http://schemas.openxmlformats.org/officeDocument/2006/relationships/hyperlink" Target="http://www.konkoly.hu/cgi-bin/IBVS?5760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980" TargetMode="External"/><Relationship Id="rId1" Type="http://schemas.openxmlformats.org/officeDocument/2006/relationships/hyperlink" Target="http://www.konkoly.hu/cgi-bin/IBVS?5414" TargetMode="External"/><Relationship Id="rId6" Type="http://schemas.openxmlformats.org/officeDocument/2006/relationships/hyperlink" Target="http://www.konkoly.hu/cgi-bin/IBVS?5414" TargetMode="External"/><Relationship Id="rId11" Type="http://schemas.openxmlformats.org/officeDocument/2006/relationships/hyperlink" Target="http://www.konkoly.hu/cgi-bin/IBVS?5414" TargetMode="External"/><Relationship Id="rId24" Type="http://schemas.openxmlformats.org/officeDocument/2006/relationships/hyperlink" Target="http://www.konkoly.hu/cgi-bin/IBVS?5887" TargetMode="External"/><Relationship Id="rId32" Type="http://schemas.openxmlformats.org/officeDocument/2006/relationships/hyperlink" Target="http://www.konkoly.hu/cgi-bin/IBVS?6125" TargetMode="External"/><Relationship Id="rId5" Type="http://schemas.openxmlformats.org/officeDocument/2006/relationships/hyperlink" Target="http://www.konkoly.hu/cgi-bin/IBVS?5414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887" TargetMode="External"/><Relationship Id="rId28" Type="http://schemas.openxmlformats.org/officeDocument/2006/relationships/hyperlink" Target="http://www.konkoly.hu/cgi-bin/IBVS?5887" TargetMode="External"/><Relationship Id="rId10" Type="http://schemas.openxmlformats.org/officeDocument/2006/relationships/hyperlink" Target="http://www.konkoly.hu/cgi-bin/IBVS?5414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6092" TargetMode="External"/><Relationship Id="rId4" Type="http://schemas.openxmlformats.org/officeDocument/2006/relationships/hyperlink" Target="http://www.konkoly.hu/cgi-bin/IBVS?5414" TargetMode="External"/><Relationship Id="rId9" Type="http://schemas.openxmlformats.org/officeDocument/2006/relationships/hyperlink" Target="http://www.konkoly.hu/cgi-bin/IBVS?541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konkoly.hu/cgi-bin/IBVS?5887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6044" TargetMode="External"/><Relationship Id="rId35" Type="http://schemas.openxmlformats.org/officeDocument/2006/relationships/hyperlink" Target="http://www.konkoly.hu/cgi-bin/IBVS?601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95" customHeight="1" x14ac:dyDescent="0.2"/>
  <cols>
    <col min="1" max="1" width="14.42578125" style="28" customWidth="1"/>
    <col min="2" max="2" width="5.140625" style="28" customWidth="1"/>
    <col min="3" max="3" width="11.85546875" style="28" customWidth="1"/>
    <col min="4" max="4" width="9.42578125" style="28" customWidth="1"/>
    <col min="5" max="5" width="10" style="28" customWidth="1"/>
    <col min="6" max="6" width="15.28515625" style="28" customWidth="1"/>
    <col min="7" max="7" width="8.140625" style="28" customWidth="1"/>
    <col min="8" max="14" width="8.5703125" style="28" customWidth="1"/>
    <col min="15" max="15" width="8" style="28" customWidth="1"/>
    <col min="16" max="16" width="7.7109375" style="28" customWidth="1"/>
    <col min="17" max="17" width="9.85546875" style="29" customWidth="1"/>
    <col min="18" max="16384" width="10.28515625" style="28"/>
  </cols>
  <sheetData>
    <row r="1" spans="1:23" s="1" customFormat="1" ht="20.25" x14ac:dyDescent="0.3">
      <c r="A1" s="2" t="s">
        <v>0</v>
      </c>
      <c r="Q1" s="26"/>
      <c r="V1" s="3" t="s">
        <v>1</v>
      </c>
      <c r="W1" s="4" t="s">
        <v>2</v>
      </c>
    </row>
    <row r="2" spans="1:23" ht="12.95" customHeight="1" x14ac:dyDescent="0.2">
      <c r="A2" s="28" t="s">
        <v>3</v>
      </c>
      <c r="B2" s="28" t="s">
        <v>4</v>
      </c>
      <c r="C2" s="28" t="s">
        <v>5</v>
      </c>
      <c r="D2" s="28" t="s">
        <v>6</v>
      </c>
      <c r="V2" s="28">
        <v>0</v>
      </c>
      <c r="W2" s="28">
        <f t="shared" ref="W2:W34" si="0">+D$11+D$12*V2+D$13*V2^2</f>
        <v>8.2142438522181699E-2</v>
      </c>
    </row>
    <row r="3" spans="1:23" ht="12.95" customHeight="1" x14ac:dyDescent="0.2">
      <c r="B3" s="28" t="s">
        <v>7</v>
      </c>
      <c r="V3" s="28">
        <v>1000</v>
      </c>
      <c r="W3" s="28">
        <f t="shared" si="0"/>
        <v>7.2078263567304235E-2</v>
      </c>
    </row>
    <row r="4" spans="1:23" ht="12.95" customHeight="1" x14ac:dyDescent="0.2">
      <c r="A4" s="30" t="s">
        <v>8</v>
      </c>
      <c r="C4" s="31" t="s">
        <v>9</v>
      </c>
      <c r="D4" s="32" t="s">
        <v>9</v>
      </c>
      <c r="E4" s="33" t="s">
        <v>256</v>
      </c>
      <c r="V4" s="28">
        <v>2000</v>
      </c>
      <c r="W4" s="28">
        <f t="shared" si="0"/>
        <v>6.2508899208127203E-2</v>
      </c>
    </row>
    <row r="5" spans="1:23" ht="12.95" customHeight="1" x14ac:dyDescent="0.2">
      <c r="A5" s="34" t="s">
        <v>10</v>
      </c>
      <c r="C5" s="35">
        <v>-9.5</v>
      </c>
      <c r="D5" s="28" t="s">
        <v>11</v>
      </c>
      <c r="V5" s="28">
        <v>3000</v>
      </c>
      <c r="W5" s="28">
        <f t="shared" si="0"/>
        <v>5.3434345444650602E-2</v>
      </c>
    </row>
    <row r="6" spans="1:23" ht="12.95" customHeight="1" x14ac:dyDescent="0.2">
      <c r="A6" s="30" t="s">
        <v>12</v>
      </c>
      <c r="V6" s="28">
        <v>4000</v>
      </c>
      <c r="W6" s="28">
        <f t="shared" si="0"/>
        <v>4.4854602276874447E-2</v>
      </c>
    </row>
    <row r="7" spans="1:23" ht="12.95" customHeight="1" x14ac:dyDescent="0.2">
      <c r="A7" s="28" t="s">
        <v>13</v>
      </c>
      <c r="C7" s="28">
        <v>47892.892747000005</v>
      </c>
      <c r="D7" s="28">
        <f>+C7+C8/2</f>
        <v>47893.080494000009</v>
      </c>
      <c r="V7" s="28">
        <v>5000</v>
      </c>
      <c r="W7" s="28">
        <f t="shared" si="0"/>
        <v>3.6769669704798717E-2</v>
      </c>
    </row>
    <row r="8" spans="1:23" ht="12.95" customHeight="1" x14ac:dyDescent="0.2">
      <c r="A8" s="28" t="s">
        <v>14</v>
      </c>
      <c r="C8" s="28">
        <v>0.37549399999999999</v>
      </c>
      <c r="F8" s="28">
        <f>24*C8</f>
        <v>9.0118559999999999</v>
      </c>
      <c r="V8" s="28">
        <v>6000</v>
      </c>
      <c r="W8" s="28">
        <f t="shared" si="0"/>
        <v>2.9179547728423422E-2</v>
      </c>
    </row>
    <row r="9" spans="1:23" ht="12.95" customHeight="1" x14ac:dyDescent="0.2">
      <c r="A9" s="36" t="s">
        <v>15</v>
      </c>
      <c r="B9" s="37">
        <v>91</v>
      </c>
      <c r="C9" s="38" t="str">
        <f>"F"&amp;B9</f>
        <v>F91</v>
      </c>
      <c r="D9" s="39" t="str">
        <f>"G"&amp;B9</f>
        <v>G91</v>
      </c>
      <c r="V9" s="28">
        <v>7000</v>
      </c>
      <c r="W9" s="28">
        <f t="shared" si="0"/>
        <v>2.2084236347748563E-2</v>
      </c>
    </row>
    <row r="10" spans="1:23" ht="12.95" customHeight="1" x14ac:dyDescent="0.2">
      <c r="C10" s="40" t="s">
        <v>16</v>
      </c>
      <c r="D10" s="40" t="s">
        <v>17</v>
      </c>
      <c r="V10" s="28">
        <v>8000</v>
      </c>
      <c r="W10" s="28">
        <f t="shared" si="0"/>
        <v>1.5483735562774152E-2</v>
      </c>
    </row>
    <row r="11" spans="1:23" ht="12.95" customHeight="1" x14ac:dyDescent="0.2">
      <c r="A11" s="28" t="s">
        <v>18</v>
      </c>
      <c r="C11" s="39">
        <f ca="1">INTERCEPT(INDIRECT($D$9):G987,INDIRECT($C$9):F987)</f>
        <v>-0.19203181882017353</v>
      </c>
      <c r="D11" s="41">
        <f>+E11*F11</f>
        <v>8.2142438522181699E-2</v>
      </c>
      <c r="E11" s="42">
        <v>8.2142438522181699E-2</v>
      </c>
      <c r="F11" s="28">
        <v>1</v>
      </c>
      <c r="V11" s="28">
        <v>9000</v>
      </c>
      <c r="W11" s="28">
        <f t="shared" si="0"/>
        <v>9.3780453735001629E-3</v>
      </c>
    </row>
    <row r="12" spans="1:23" ht="12.95" customHeight="1" x14ac:dyDescent="0.2">
      <c r="A12" s="28" t="s">
        <v>19</v>
      </c>
      <c r="C12" s="39">
        <f ca="1">SLOPE(INDIRECT($D$9):G987,INDIRECT($C$9):F987)</f>
        <v>6.2187021130688382E-6</v>
      </c>
      <c r="D12" s="41">
        <f>+E12*F12</f>
        <v>-1.0311580252727684E-5</v>
      </c>
      <c r="E12" s="43">
        <v>-0.10311580252727683</v>
      </c>
      <c r="F12" s="44">
        <v>1E-4</v>
      </c>
      <c r="V12" s="28">
        <v>10000</v>
      </c>
      <c r="W12" s="28">
        <f t="shared" si="0"/>
        <v>3.7671657799266088E-3</v>
      </c>
    </row>
    <row r="13" spans="1:23" ht="12.95" customHeight="1" x14ac:dyDescent="0.2">
      <c r="A13" s="28" t="s">
        <v>20</v>
      </c>
      <c r="C13" s="41" t="s">
        <v>21</v>
      </c>
      <c r="D13" s="41">
        <f>+E13*F13</f>
        <v>2.4740529785021748E-10</v>
      </c>
      <c r="E13" s="45">
        <v>2.4740529785021746E-2</v>
      </c>
      <c r="F13" s="44">
        <v>1E-8</v>
      </c>
      <c r="V13" s="28">
        <v>11000</v>
      </c>
      <c r="W13" s="28">
        <f t="shared" si="0"/>
        <v>-1.3489032179465135E-3</v>
      </c>
    </row>
    <row r="14" spans="1:23" ht="12.95" customHeight="1" x14ac:dyDescent="0.2">
      <c r="C14" s="28" t="s">
        <v>22</v>
      </c>
      <c r="D14" s="36">
        <f>2*D13*365.24/C8</f>
        <v>4.8129829497575687E-7</v>
      </c>
      <c r="E14" s="28">
        <f>SUM(T21:T946)</f>
        <v>7.9440404699341188E-3</v>
      </c>
      <c r="V14" s="28">
        <v>12000</v>
      </c>
      <c r="W14" s="28">
        <f t="shared" si="0"/>
        <v>-5.9701616201191937E-3</v>
      </c>
    </row>
    <row r="15" spans="1:23" ht="12.95" customHeight="1" x14ac:dyDescent="0.2">
      <c r="A15" s="30" t="s">
        <v>23</v>
      </c>
      <c r="C15" s="46">
        <f ca="1">(C7+C11)+(C8+C12)*INT(MAX(F21:F3528))</f>
        <v>59577.892020972242</v>
      </c>
      <c r="D15" s="39">
        <f>+C7+INT(MAX(F21:F1584))*C8+D11+D12*INT(MAX(F21:F4019))+D13*INT(MAX(F21:F4046)^2)</f>
        <v>59577.891374723673</v>
      </c>
      <c r="E15" s="36" t="s">
        <v>24</v>
      </c>
      <c r="F15" s="35">
        <v>0</v>
      </c>
      <c r="V15" s="28">
        <v>13000</v>
      </c>
      <c r="W15" s="28">
        <f t="shared" si="0"/>
        <v>-1.0096609426591449E-2</v>
      </c>
    </row>
    <row r="16" spans="1:23" ht="12.95" customHeight="1" x14ac:dyDescent="0.2">
      <c r="A16" s="30" t="s">
        <v>25</v>
      </c>
      <c r="C16" s="46">
        <f ca="1">+C8+C12</f>
        <v>0.37550021870211309</v>
      </c>
      <c r="D16" s="39">
        <f>+C8+D12+2*D13*MAX(F21:F892)</f>
        <v>0.37549908643067487</v>
      </c>
      <c r="E16" s="36" t="s">
        <v>26</v>
      </c>
      <c r="F16" s="39">
        <f ca="1">NOW()+15018.5+$C$5/24</f>
        <v>60367.541092939813</v>
      </c>
      <c r="V16" s="28">
        <v>14000</v>
      </c>
      <c r="W16" s="28">
        <f t="shared" si="0"/>
        <v>-1.3728246637363259E-2</v>
      </c>
    </row>
    <row r="17" spans="1:28" ht="12.95" customHeight="1" x14ac:dyDescent="0.2">
      <c r="A17" s="36" t="s">
        <v>27</v>
      </c>
      <c r="C17" s="28">
        <f>COUNT(C21:C2186)</f>
        <v>75</v>
      </c>
      <c r="D17" s="36"/>
      <c r="E17" s="36" t="s">
        <v>28</v>
      </c>
      <c r="F17" s="39">
        <f ca="1">ROUND(2*(F16-$C$7)/$C$8,0)/2+F15</f>
        <v>33222</v>
      </c>
      <c r="V17" s="28">
        <v>15000</v>
      </c>
      <c r="W17" s="28">
        <f t="shared" si="0"/>
        <v>-1.6865073252434616E-2</v>
      </c>
    </row>
    <row r="18" spans="1:28" ht="12.95" customHeight="1" x14ac:dyDescent="0.2">
      <c r="A18" s="30" t="s">
        <v>29</v>
      </c>
      <c r="C18" s="47">
        <f ca="1">+C15</f>
        <v>59577.892020972242</v>
      </c>
      <c r="D18" s="48">
        <f ca="1">C16</f>
        <v>0.37550021870211309</v>
      </c>
      <c r="E18" s="36" t="s">
        <v>30</v>
      </c>
      <c r="F18" s="39">
        <f ca="1">ROUND(2*(F16-$C$15)/$C$16,0)/2+F15</f>
        <v>2103</v>
      </c>
      <c r="V18" s="28">
        <v>16000</v>
      </c>
      <c r="W18" s="28">
        <f t="shared" si="0"/>
        <v>-1.9507089271805556E-2</v>
      </c>
    </row>
    <row r="19" spans="1:28" ht="12.95" customHeight="1" x14ac:dyDescent="0.2">
      <c r="A19" s="30" t="s">
        <v>31</v>
      </c>
      <c r="C19" s="49">
        <f>+D15</f>
        <v>59577.891374723673</v>
      </c>
      <c r="D19" s="50">
        <f>+D16</f>
        <v>0.37549908643067487</v>
      </c>
      <c r="E19" s="36" t="s">
        <v>32</v>
      </c>
      <c r="F19" s="51">
        <f ca="1">+$C$15+$C$16*F18-15018.5-$C$5/24</f>
        <v>45349.464814236118</v>
      </c>
      <c r="V19" s="28">
        <v>17000</v>
      </c>
      <c r="W19" s="28">
        <f t="shared" si="0"/>
        <v>-2.165429469547607E-2</v>
      </c>
    </row>
    <row r="20" spans="1:28" ht="12.95" customHeight="1" x14ac:dyDescent="0.2">
      <c r="A20" s="40" t="s">
        <v>33</v>
      </c>
      <c r="B20" s="40" t="s">
        <v>34</v>
      </c>
      <c r="C20" s="40" t="s">
        <v>35</v>
      </c>
      <c r="D20" s="40" t="s">
        <v>36</v>
      </c>
      <c r="E20" s="40" t="s">
        <v>37</v>
      </c>
      <c r="F20" s="40" t="s">
        <v>1</v>
      </c>
      <c r="G20" s="40" t="s">
        <v>38</v>
      </c>
      <c r="H20" s="52" t="s">
        <v>39</v>
      </c>
      <c r="I20" s="52" t="s">
        <v>40</v>
      </c>
      <c r="J20" s="52" t="s">
        <v>41</v>
      </c>
      <c r="K20" s="52" t="s">
        <v>42</v>
      </c>
      <c r="L20" s="52" t="s">
        <v>43</v>
      </c>
      <c r="M20" s="52" t="s">
        <v>44</v>
      </c>
      <c r="N20" s="52" t="s">
        <v>45</v>
      </c>
      <c r="O20" s="52" t="s">
        <v>46</v>
      </c>
      <c r="P20" s="53" t="s">
        <v>2</v>
      </c>
      <c r="Q20" s="54" t="s">
        <v>47</v>
      </c>
      <c r="R20" s="52" t="s">
        <v>48</v>
      </c>
      <c r="S20" s="52" t="s">
        <v>49</v>
      </c>
      <c r="T20" s="52" t="s">
        <v>50</v>
      </c>
      <c r="U20" s="55" t="s">
        <v>257</v>
      </c>
      <c r="V20" s="28">
        <v>18000</v>
      </c>
      <c r="W20" s="28">
        <f t="shared" si="0"/>
        <v>-2.3306689523446139E-2</v>
      </c>
    </row>
    <row r="21" spans="1:28" ht="12.95" customHeight="1" x14ac:dyDescent="0.2">
      <c r="A21" s="28" t="s">
        <v>51</v>
      </c>
      <c r="C21" s="56">
        <v>47892.882429999998</v>
      </c>
      <c r="D21" s="56" t="s">
        <v>21</v>
      </c>
      <c r="E21" s="28">
        <f t="shared" ref="E21:E52" si="1">+(C21-C$7)/C$8</f>
        <v>-2.7475805225888286E-2</v>
      </c>
      <c r="F21" s="28">
        <f t="shared" ref="F21:F52" si="2">ROUND(2*E21,0)/2</f>
        <v>0</v>
      </c>
      <c r="G21" s="28">
        <f t="shared" ref="G21:G52" si="3">+C21-(C$7+F21*C$8)</f>
        <v>-1.0317000007489696E-2</v>
      </c>
      <c r="H21" s="39">
        <f t="shared" ref="H21:H29" si="4">G21</f>
        <v>-1.0317000007489696E-2</v>
      </c>
      <c r="P21" s="36">
        <f t="shared" ref="P21:P52" si="5">+D$11+D$12*F21+D$13*F21^2</f>
        <v>8.2142438522181699E-2</v>
      </c>
      <c r="Q21" s="29">
        <f t="shared" ref="Q21:Q52" si="6">+C21-15018.5</f>
        <v>32874.382429999998</v>
      </c>
      <c r="R21" s="28">
        <f t="shared" ref="R21:R52" si="7">+(P21-G21)^2</f>
        <v>8.5487477732220825E-3</v>
      </c>
      <c r="T21" s="28">
        <f t="shared" ref="T21:T43" si="8">+S21*R21</f>
        <v>0</v>
      </c>
      <c r="U21" s="57"/>
      <c r="V21" s="28">
        <v>19000</v>
      </c>
      <c r="W21" s="28">
        <f t="shared" si="0"/>
        <v>-2.4464273755715776E-2</v>
      </c>
    </row>
    <row r="22" spans="1:28" ht="12.95" customHeight="1" x14ac:dyDescent="0.2">
      <c r="A22" s="28" t="s">
        <v>51</v>
      </c>
      <c r="C22" s="56">
        <v>47986.604769999998</v>
      </c>
      <c r="D22" s="56"/>
      <c r="E22" s="28">
        <f t="shared" si="1"/>
        <v>249.5699611711313</v>
      </c>
      <c r="F22" s="28">
        <f t="shared" si="2"/>
        <v>249.5</v>
      </c>
      <c r="G22" s="28">
        <f t="shared" si="3"/>
        <v>2.6269999994838145E-2</v>
      </c>
      <c r="H22" s="39">
        <f t="shared" si="4"/>
        <v>2.6269999994838145E-2</v>
      </c>
      <c r="P22" s="36">
        <f t="shared" si="5"/>
        <v>7.9585100290768651E-2</v>
      </c>
      <c r="Q22" s="29">
        <f t="shared" si="6"/>
        <v>32968.104769999998</v>
      </c>
      <c r="R22" s="28">
        <f t="shared" si="7"/>
        <v>2.842499919565129E-3</v>
      </c>
      <c r="T22" s="28">
        <f t="shared" si="8"/>
        <v>0</v>
      </c>
      <c r="V22" s="28">
        <v>20000</v>
      </c>
      <c r="W22" s="28">
        <f t="shared" si="0"/>
        <v>-2.5127047392284982E-2</v>
      </c>
    </row>
    <row r="23" spans="1:28" ht="12.95" customHeight="1" x14ac:dyDescent="0.2">
      <c r="A23" s="28" t="s">
        <v>51</v>
      </c>
      <c r="C23" s="56">
        <v>48218.062429999998</v>
      </c>
      <c r="D23" s="56"/>
      <c r="E23" s="28">
        <f t="shared" si="1"/>
        <v>865.97837249061979</v>
      </c>
      <c r="F23" s="28">
        <f t="shared" si="2"/>
        <v>866</v>
      </c>
      <c r="G23" s="28">
        <f t="shared" si="3"/>
        <v>-8.1210000062128529E-3</v>
      </c>
      <c r="H23" s="39">
        <f t="shared" si="4"/>
        <v>-8.1210000062128529E-3</v>
      </c>
      <c r="P23" s="36">
        <f t="shared" si="5"/>
        <v>7.3398153110874081E-2</v>
      </c>
      <c r="Q23" s="29">
        <f t="shared" si="6"/>
        <v>33199.562429999998</v>
      </c>
      <c r="R23" s="28">
        <f t="shared" si="7"/>
        <v>6.6453723249270645E-3</v>
      </c>
      <c r="T23" s="28">
        <f t="shared" si="8"/>
        <v>0</v>
      </c>
      <c r="V23" s="28">
        <v>21000</v>
      </c>
      <c r="W23" s="28">
        <f t="shared" si="0"/>
        <v>-2.5295010433153756E-2</v>
      </c>
    </row>
    <row r="24" spans="1:28" ht="12.95" customHeight="1" x14ac:dyDescent="0.2">
      <c r="A24" s="28" t="s">
        <v>51</v>
      </c>
      <c r="C24" s="56">
        <v>48240.989759999997</v>
      </c>
      <c r="D24" s="56"/>
      <c r="E24" s="28">
        <f t="shared" si="1"/>
        <v>927.03748395444779</v>
      </c>
      <c r="F24" s="28">
        <f t="shared" si="2"/>
        <v>927</v>
      </c>
      <c r="G24" s="28">
        <f t="shared" si="3"/>
        <v>1.4074999991862569E-2</v>
      </c>
      <c r="H24" s="39">
        <f t="shared" si="4"/>
        <v>1.4074999991862569E-2</v>
      </c>
      <c r="P24" s="36">
        <f t="shared" si="5"/>
        <v>7.2796206175099479E-2</v>
      </c>
      <c r="Q24" s="29">
        <f t="shared" si="6"/>
        <v>33222.489759999997</v>
      </c>
      <c r="R24" s="28">
        <f t="shared" si="7"/>
        <v>3.4481800556142206E-3</v>
      </c>
      <c r="T24" s="28">
        <f t="shared" si="8"/>
        <v>0</v>
      </c>
      <c r="V24" s="28">
        <v>22000</v>
      </c>
      <c r="W24" s="28">
        <f t="shared" si="0"/>
        <v>-2.4968162878322098E-2</v>
      </c>
    </row>
    <row r="25" spans="1:28" ht="12.95" customHeight="1" x14ac:dyDescent="0.2">
      <c r="A25" s="28" t="s">
        <v>51</v>
      </c>
      <c r="C25" s="56">
        <v>48540.79234</v>
      </c>
      <c r="D25" s="56"/>
      <c r="E25" s="28">
        <f t="shared" si="1"/>
        <v>1725.4592430238424</v>
      </c>
      <c r="F25" s="28">
        <f t="shared" si="2"/>
        <v>1725.5</v>
      </c>
      <c r="G25" s="28">
        <f t="shared" si="3"/>
        <v>-1.5304000007745344E-2</v>
      </c>
      <c r="H25" s="39">
        <f t="shared" si="4"/>
        <v>-1.5304000007745344E-2</v>
      </c>
      <c r="P25" s="36">
        <f t="shared" si="5"/>
        <v>6.5086419021505748E-2</v>
      </c>
      <c r="Q25" s="29">
        <f t="shared" si="6"/>
        <v>33522.29234</v>
      </c>
      <c r="R25" s="28">
        <f t="shared" si="7"/>
        <v>6.4626194716985762E-3</v>
      </c>
      <c r="T25" s="28">
        <f t="shared" si="8"/>
        <v>0</v>
      </c>
      <c r="V25" s="28">
        <v>23000</v>
      </c>
      <c r="W25" s="28">
        <f t="shared" si="0"/>
        <v>-2.414650472778998E-2</v>
      </c>
    </row>
    <row r="26" spans="1:28" ht="12.95" customHeight="1" x14ac:dyDescent="0.2">
      <c r="A26" s="28" t="s">
        <v>51</v>
      </c>
      <c r="C26" s="56">
        <v>48587.550470000002</v>
      </c>
      <c r="D26" s="56"/>
      <c r="E26" s="28">
        <f t="shared" si="1"/>
        <v>1849.9835496705584</v>
      </c>
      <c r="F26" s="28">
        <f t="shared" si="2"/>
        <v>1850</v>
      </c>
      <c r="G26" s="28">
        <f t="shared" si="3"/>
        <v>-6.1770000029355288E-3</v>
      </c>
      <c r="H26" s="39">
        <f t="shared" si="4"/>
        <v>-6.1770000029355288E-3</v>
      </c>
      <c r="P26" s="36">
        <f t="shared" si="5"/>
        <v>6.3912759686527848E-2</v>
      </c>
      <c r="Q26" s="29">
        <f t="shared" si="6"/>
        <v>33569.050470000002</v>
      </c>
      <c r="R26" s="28">
        <f t="shared" si="7"/>
        <v>4.9125744133267256E-3</v>
      </c>
      <c r="T26" s="28">
        <f t="shared" si="8"/>
        <v>0</v>
      </c>
      <c r="V26" s="28">
        <v>24000</v>
      </c>
      <c r="W26" s="28">
        <f t="shared" si="0"/>
        <v>-2.2830035981557445E-2</v>
      </c>
    </row>
    <row r="27" spans="1:28" ht="12.95" customHeight="1" x14ac:dyDescent="0.2">
      <c r="A27" s="28" t="s">
        <v>51</v>
      </c>
      <c r="C27" s="56">
        <v>48800.652849999999</v>
      </c>
      <c r="D27" s="56" t="s">
        <v>21</v>
      </c>
      <c r="E27" s="28">
        <f t="shared" si="1"/>
        <v>2417.5089428858869</v>
      </c>
      <c r="F27" s="28">
        <f t="shared" si="2"/>
        <v>2417.5</v>
      </c>
      <c r="G27" s="28">
        <f t="shared" si="3"/>
        <v>3.3579999944777228E-3</v>
      </c>
      <c r="H27" s="39">
        <f t="shared" si="4"/>
        <v>3.3579999944777228E-3</v>
      </c>
      <c r="P27" s="36">
        <f t="shared" si="5"/>
        <v>5.8660105589721658E-2</v>
      </c>
      <c r="Q27" s="29">
        <f t="shared" si="6"/>
        <v>33782.152849999999</v>
      </c>
      <c r="R27" s="28">
        <f t="shared" si="7"/>
        <v>3.0583228832675104E-3</v>
      </c>
      <c r="T27" s="28">
        <f t="shared" si="8"/>
        <v>0</v>
      </c>
      <c r="V27" s="28">
        <v>25000</v>
      </c>
      <c r="W27" s="28">
        <f t="shared" si="0"/>
        <v>-2.1018756639624464E-2</v>
      </c>
    </row>
    <row r="28" spans="1:28" ht="12.95" customHeight="1" x14ac:dyDescent="0.2">
      <c r="A28" s="28" t="s">
        <v>51</v>
      </c>
      <c r="C28" s="56">
        <v>48800.667170000001</v>
      </c>
      <c r="D28" s="56" t="s">
        <v>21</v>
      </c>
      <c r="E28" s="28">
        <f t="shared" si="1"/>
        <v>2417.5470793141708</v>
      </c>
      <c r="F28" s="28">
        <f t="shared" si="2"/>
        <v>2417.5</v>
      </c>
      <c r="G28" s="28">
        <f t="shared" si="3"/>
        <v>1.7677999996521976E-2</v>
      </c>
      <c r="H28" s="39">
        <f t="shared" si="4"/>
        <v>1.7677999996521976E-2</v>
      </c>
      <c r="P28" s="36">
        <f t="shared" si="5"/>
        <v>5.8660105589721658E-2</v>
      </c>
      <c r="Q28" s="29">
        <f t="shared" si="6"/>
        <v>33782.167170000001</v>
      </c>
      <c r="R28" s="28">
        <f t="shared" si="7"/>
        <v>1.6795329788521687E-3</v>
      </c>
      <c r="T28" s="28">
        <f t="shared" si="8"/>
        <v>0</v>
      </c>
      <c r="V28" s="28">
        <v>26000</v>
      </c>
      <c r="W28" s="28">
        <f t="shared" si="0"/>
        <v>-1.8712666701991093E-2</v>
      </c>
    </row>
    <row r="29" spans="1:28" ht="12.95" customHeight="1" x14ac:dyDescent="0.2">
      <c r="A29" s="28" t="s">
        <v>51</v>
      </c>
      <c r="C29" s="56">
        <v>48800.830610000005</v>
      </c>
      <c r="D29" s="56" t="s">
        <v>21</v>
      </c>
      <c r="E29" s="28">
        <f t="shared" si="1"/>
        <v>2417.9823459229688</v>
      </c>
      <c r="F29" s="28">
        <f t="shared" si="2"/>
        <v>2418</v>
      </c>
      <c r="G29" s="28">
        <f t="shared" si="3"/>
        <v>-6.6290000031585805E-3</v>
      </c>
      <c r="H29" s="39">
        <f t="shared" si="4"/>
        <v>-6.6290000031585805E-3</v>
      </c>
      <c r="P29" s="36">
        <f t="shared" si="5"/>
        <v>5.8655547963754176E-2</v>
      </c>
      <c r="Q29" s="29">
        <f t="shared" si="6"/>
        <v>33782.330610000005</v>
      </c>
      <c r="R29" s="28">
        <f t="shared" si="7"/>
        <v>4.2620722032441329E-3</v>
      </c>
      <c r="T29" s="28">
        <f t="shared" si="8"/>
        <v>0</v>
      </c>
      <c r="V29" s="28">
        <v>27000</v>
      </c>
      <c r="W29" s="28">
        <f t="shared" si="0"/>
        <v>-1.5911766168657221E-2</v>
      </c>
    </row>
    <row r="30" spans="1:28" ht="12.95" customHeight="1" x14ac:dyDescent="0.2">
      <c r="A30" s="28" t="s">
        <v>52</v>
      </c>
      <c r="B30" s="41" t="s">
        <v>53</v>
      </c>
      <c r="C30" s="56">
        <v>52368.398300000001</v>
      </c>
      <c r="D30" s="56">
        <v>2.0000000000000001E-4</v>
      </c>
      <c r="E30" s="28">
        <f t="shared" si="1"/>
        <v>11918.980204743606</v>
      </c>
      <c r="F30" s="28">
        <f t="shared" si="2"/>
        <v>11919</v>
      </c>
      <c r="G30" s="28">
        <f t="shared" si="3"/>
        <v>-7.4330000061308965E-3</v>
      </c>
      <c r="K30" s="28">
        <f t="shared" ref="K30:K46" si="9">G30</f>
        <v>-7.4330000061308965E-3</v>
      </c>
      <c r="P30" s="36">
        <f t="shared" si="5"/>
        <v>-5.6142562925098824E-3</v>
      </c>
      <c r="Q30" s="29">
        <f t="shared" si="6"/>
        <v>37349.898300000001</v>
      </c>
      <c r="R30" s="28">
        <f t="shared" si="7"/>
        <v>3.3078286958359575E-6</v>
      </c>
      <c r="S30" s="28">
        <v>0.8</v>
      </c>
      <c r="T30" s="28">
        <f t="shared" si="8"/>
        <v>2.6462629566687662E-6</v>
      </c>
      <c r="V30" s="28">
        <v>28000</v>
      </c>
      <c r="W30" s="28">
        <f t="shared" si="0"/>
        <v>-1.2616055039622959E-2</v>
      </c>
      <c r="AA30" s="41" t="s">
        <v>54</v>
      </c>
      <c r="AB30" s="41" t="s">
        <v>55</v>
      </c>
    </row>
    <row r="31" spans="1:28" ht="12.95" customHeight="1" x14ac:dyDescent="0.2">
      <c r="A31" s="28" t="s">
        <v>52</v>
      </c>
      <c r="B31" s="41" t="s">
        <v>56</v>
      </c>
      <c r="C31" s="56">
        <v>52369.338000000003</v>
      </c>
      <c r="D31" s="56">
        <v>2E-3</v>
      </c>
      <c r="E31" s="28">
        <f t="shared" si="1"/>
        <v>11921.482774691469</v>
      </c>
      <c r="F31" s="28">
        <f t="shared" si="2"/>
        <v>11921.5</v>
      </c>
      <c r="G31" s="28">
        <f t="shared" si="3"/>
        <v>-6.4679999995860271E-3</v>
      </c>
      <c r="K31" s="28">
        <f t="shared" si="9"/>
        <v>-6.4679999995860271E-3</v>
      </c>
      <c r="P31" s="36">
        <f t="shared" si="5"/>
        <v>-5.6252895781331996E-3</v>
      </c>
      <c r="Q31" s="29">
        <f t="shared" si="6"/>
        <v>37350.838000000003</v>
      </c>
      <c r="R31" s="28">
        <f t="shared" si="7"/>
        <v>7.1016085442520215E-7</v>
      </c>
      <c r="S31" s="28">
        <v>0.5</v>
      </c>
      <c r="T31" s="28">
        <f t="shared" si="8"/>
        <v>3.5508042721260108E-7</v>
      </c>
      <c r="V31" s="28">
        <v>29000</v>
      </c>
      <c r="W31" s="28">
        <f t="shared" si="0"/>
        <v>-8.8255333148882231E-3</v>
      </c>
      <c r="AA31" s="41" t="s">
        <v>54</v>
      </c>
      <c r="AB31" s="41" t="s">
        <v>55</v>
      </c>
    </row>
    <row r="32" spans="1:28" ht="12.95" customHeight="1" x14ac:dyDescent="0.2">
      <c r="A32" s="28" t="s">
        <v>52</v>
      </c>
      <c r="B32" s="41" t="s">
        <v>53</v>
      </c>
      <c r="C32" s="56">
        <v>52369.527600000001</v>
      </c>
      <c r="D32" s="56">
        <v>8.9999999999999998E-4</v>
      </c>
      <c r="E32" s="28">
        <f t="shared" si="1"/>
        <v>11921.987709523977</v>
      </c>
      <c r="F32" s="28">
        <f t="shared" si="2"/>
        <v>11922</v>
      </c>
      <c r="G32" s="28">
        <f t="shared" si="3"/>
        <v>-4.6150000052875839E-3</v>
      </c>
      <c r="K32" s="28">
        <f t="shared" si="9"/>
        <v>-4.6150000052875839E-3</v>
      </c>
      <c r="P32" s="36">
        <f t="shared" si="5"/>
        <v>-5.6274958641499145E-3</v>
      </c>
      <c r="Q32" s="29">
        <f t="shared" si="6"/>
        <v>37351.027600000001</v>
      </c>
      <c r="R32" s="28">
        <f t="shared" si="7"/>
        <v>1.0251478642133686E-6</v>
      </c>
      <c r="S32" s="28">
        <v>1</v>
      </c>
      <c r="T32" s="28">
        <f t="shared" si="8"/>
        <v>1.0251478642133686E-6</v>
      </c>
      <c r="V32" s="28">
        <v>30000</v>
      </c>
      <c r="W32" s="28">
        <f t="shared" si="0"/>
        <v>-4.5402009944530697E-3</v>
      </c>
      <c r="AA32" s="41" t="s">
        <v>54</v>
      </c>
      <c r="AB32" s="41" t="s">
        <v>55</v>
      </c>
    </row>
    <row r="33" spans="1:28" ht="12.95" customHeight="1" x14ac:dyDescent="0.2">
      <c r="A33" s="28" t="s">
        <v>52</v>
      </c>
      <c r="B33" s="41" t="s">
        <v>53</v>
      </c>
      <c r="C33" s="56">
        <v>52374.407399999996</v>
      </c>
      <c r="D33" s="56">
        <v>8.9999999999999998E-4</v>
      </c>
      <c r="E33" s="28">
        <f t="shared" si="1"/>
        <v>11934.983389881039</v>
      </c>
      <c r="F33" s="28">
        <f t="shared" si="2"/>
        <v>11935</v>
      </c>
      <c r="G33" s="28">
        <f t="shared" si="3"/>
        <v>-6.2370000086957589E-3</v>
      </c>
      <c r="K33" s="28">
        <f t="shared" si="9"/>
        <v>-6.2370000086957589E-3</v>
      </c>
      <c r="P33" s="36">
        <f t="shared" si="5"/>
        <v>-5.6848158809548188E-3</v>
      </c>
      <c r="Q33" s="29">
        <f t="shared" si="6"/>
        <v>37355.907399999996</v>
      </c>
      <c r="R33" s="28">
        <f t="shared" si="7"/>
        <v>3.049073109290228E-7</v>
      </c>
      <c r="S33" s="28">
        <v>1</v>
      </c>
      <c r="T33" s="28">
        <f t="shared" si="8"/>
        <v>3.049073109290228E-7</v>
      </c>
      <c r="V33" s="28">
        <v>31000</v>
      </c>
      <c r="W33" s="28">
        <f t="shared" si="0"/>
        <v>2.3994192168250161E-4</v>
      </c>
      <c r="AA33" s="41" t="s">
        <v>54</v>
      </c>
      <c r="AB33" s="41" t="s">
        <v>55</v>
      </c>
    </row>
    <row r="34" spans="1:28" ht="12.95" customHeight="1" x14ac:dyDescent="0.2">
      <c r="A34" s="28" t="s">
        <v>52</v>
      </c>
      <c r="B34" s="41" t="s">
        <v>56</v>
      </c>
      <c r="C34" s="56">
        <v>52374.591500000002</v>
      </c>
      <c r="D34" s="56">
        <v>5.0000000000000001E-4</v>
      </c>
      <c r="E34" s="28">
        <f t="shared" si="1"/>
        <v>11935.473677342374</v>
      </c>
      <c r="F34" s="28">
        <f t="shared" si="2"/>
        <v>11935.5</v>
      </c>
      <c r="G34" s="28">
        <f t="shared" si="3"/>
        <v>-9.8840000064228661E-3</v>
      </c>
      <c r="K34" s="28">
        <f t="shared" si="9"/>
        <v>-9.8840000064228661E-3</v>
      </c>
      <c r="P34" s="36">
        <f t="shared" si="5"/>
        <v>-5.6870188270000122E-3</v>
      </c>
      <c r="Q34" s="29">
        <f t="shared" si="6"/>
        <v>37356.091500000002</v>
      </c>
      <c r="R34" s="28">
        <f t="shared" si="7"/>
        <v>1.7614651020429651E-5</v>
      </c>
      <c r="S34" s="28">
        <v>0.8</v>
      </c>
      <c r="T34" s="28">
        <f t="shared" si="8"/>
        <v>1.4091720816343721E-5</v>
      </c>
      <c r="V34" s="28">
        <v>32000</v>
      </c>
      <c r="W34" s="28">
        <f t="shared" si="0"/>
        <v>5.5148954335185463E-3</v>
      </c>
      <c r="AA34" s="41" t="s">
        <v>54</v>
      </c>
      <c r="AB34" s="41" t="s">
        <v>55</v>
      </c>
    </row>
    <row r="35" spans="1:28" ht="12.95" customHeight="1" x14ac:dyDescent="0.2">
      <c r="A35" s="28" t="s">
        <v>52</v>
      </c>
      <c r="B35" s="41" t="s">
        <v>56</v>
      </c>
      <c r="C35" s="56">
        <v>52673.488100000002</v>
      </c>
      <c r="D35" s="56">
        <v>2.0000000000000001E-4</v>
      </c>
      <c r="E35" s="28">
        <f t="shared" si="1"/>
        <v>12731.482668165128</v>
      </c>
      <c r="F35" s="28">
        <f t="shared" si="2"/>
        <v>12731.5</v>
      </c>
      <c r="G35" s="28">
        <f t="shared" si="3"/>
        <v>-6.5080000058514997E-3</v>
      </c>
      <c r="K35" s="28">
        <f t="shared" si="9"/>
        <v>-6.5080000058514997E-3</v>
      </c>
      <c r="P35" s="36">
        <f t="shared" si="5"/>
        <v>-9.0372505084424862E-3</v>
      </c>
      <c r="Q35" s="29">
        <f t="shared" si="6"/>
        <v>37654.988100000002</v>
      </c>
      <c r="R35" s="28">
        <f t="shared" si="7"/>
        <v>6.3971081048567576E-6</v>
      </c>
      <c r="S35" s="28">
        <v>0.8</v>
      </c>
      <c r="T35" s="28">
        <f t="shared" si="8"/>
        <v>5.1176864838854064E-6</v>
      </c>
      <c r="AA35" s="41" t="s">
        <v>57</v>
      </c>
      <c r="AB35" s="41" t="s">
        <v>58</v>
      </c>
    </row>
    <row r="36" spans="1:28" ht="12.95" customHeight="1" x14ac:dyDescent="0.2">
      <c r="A36" s="28" t="s">
        <v>52</v>
      </c>
      <c r="B36" s="41" t="s">
        <v>56</v>
      </c>
      <c r="C36" s="56">
        <v>52682.495799999997</v>
      </c>
      <c r="D36" s="56">
        <v>2.9999999999999997E-4</v>
      </c>
      <c r="E36" s="28">
        <f t="shared" si="1"/>
        <v>12755.471600078807</v>
      </c>
      <c r="F36" s="28">
        <f t="shared" si="2"/>
        <v>12755.5</v>
      </c>
      <c r="G36" s="28">
        <f t="shared" si="3"/>
        <v>-1.0664000008546282E-2</v>
      </c>
      <c r="H36" s="58"/>
      <c r="J36" s="58"/>
      <c r="K36" s="28">
        <f t="shared" si="9"/>
        <v>-1.0664000008546282E-2</v>
      </c>
      <c r="L36" s="58"/>
      <c r="P36" s="36">
        <f t="shared" si="5"/>
        <v>-9.1333935826765564E-3</v>
      </c>
      <c r="Q36" s="29">
        <f t="shared" si="6"/>
        <v>37663.995799999997</v>
      </c>
      <c r="R36" s="28">
        <f t="shared" si="7"/>
        <v>2.3427560309136946E-6</v>
      </c>
      <c r="S36" s="28">
        <v>1</v>
      </c>
      <c r="T36" s="28">
        <f t="shared" si="8"/>
        <v>2.3427560309136946E-6</v>
      </c>
      <c r="AA36" s="41" t="s">
        <v>59</v>
      </c>
      <c r="AB36" s="41" t="s">
        <v>60</v>
      </c>
    </row>
    <row r="37" spans="1:28" ht="12.95" customHeight="1" x14ac:dyDescent="0.2">
      <c r="A37" s="28" t="s">
        <v>52</v>
      </c>
      <c r="B37" s="41" t="s">
        <v>53</v>
      </c>
      <c r="C37" s="56">
        <v>52683.436399999999</v>
      </c>
      <c r="D37" s="56">
        <v>1E-4</v>
      </c>
      <c r="E37" s="28">
        <f t="shared" si="1"/>
        <v>12757.976566869227</v>
      </c>
      <c r="F37" s="28">
        <f t="shared" si="2"/>
        <v>12758</v>
      </c>
      <c r="G37" s="28">
        <f t="shared" si="3"/>
        <v>-8.7990000101854093E-3</v>
      </c>
      <c r="K37" s="28">
        <f t="shared" si="9"/>
        <v>-8.7990000101854093E-3</v>
      </c>
      <c r="P37" s="36">
        <f t="shared" si="5"/>
        <v>-9.143392095641599E-3</v>
      </c>
      <c r="Q37" s="29">
        <f t="shared" si="6"/>
        <v>37664.936399999999</v>
      </c>
      <c r="R37" s="28">
        <f t="shared" si="7"/>
        <v>1.1860590852486344E-7</v>
      </c>
      <c r="S37" s="28">
        <v>1</v>
      </c>
      <c r="T37" s="28">
        <f t="shared" si="8"/>
        <v>1.1860590852486344E-7</v>
      </c>
      <c r="AA37" s="41" t="s">
        <v>59</v>
      </c>
      <c r="AB37" s="41" t="s">
        <v>61</v>
      </c>
    </row>
    <row r="38" spans="1:28" ht="12.95" customHeight="1" x14ac:dyDescent="0.2">
      <c r="A38" s="28" t="s">
        <v>52</v>
      </c>
      <c r="B38" s="41" t="s">
        <v>56</v>
      </c>
      <c r="C38" s="56">
        <v>52683.623599999999</v>
      </c>
      <c r="D38" s="56">
        <v>2.9999999999999997E-4</v>
      </c>
      <c r="E38" s="28">
        <f t="shared" si="1"/>
        <v>12758.475110121582</v>
      </c>
      <c r="F38" s="28">
        <f t="shared" si="2"/>
        <v>12758.5</v>
      </c>
      <c r="G38" s="28">
        <f t="shared" si="3"/>
        <v>-9.3460000061895698E-3</v>
      </c>
      <c r="K38" s="28">
        <f t="shared" si="9"/>
        <v>-9.3460000061895698E-3</v>
      </c>
      <c r="P38" s="36">
        <f t="shared" si="5"/>
        <v>-9.1453914271266631E-3</v>
      </c>
      <c r="Q38" s="29">
        <f t="shared" si="6"/>
        <v>37665.123599999999</v>
      </c>
      <c r="R38" s="28">
        <f t="shared" si="7"/>
        <v>4.0243801993638481E-8</v>
      </c>
      <c r="S38" s="28">
        <v>1</v>
      </c>
      <c r="T38" s="28">
        <f t="shared" si="8"/>
        <v>4.0243801993638481E-8</v>
      </c>
      <c r="AA38" s="41" t="s">
        <v>59</v>
      </c>
      <c r="AB38" s="41" t="s">
        <v>61</v>
      </c>
    </row>
    <row r="39" spans="1:28" ht="12.95" customHeight="1" x14ac:dyDescent="0.2">
      <c r="A39" s="28" t="s">
        <v>52</v>
      </c>
      <c r="B39" s="41" t="s">
        <v>56</v>
      </c>
      <c r="C39" s="56">
        <v>52693.386299999998</v>
      </c>
      <c r="D39" s="56">
        <v>8.9999999999999998E-4</v>
      </c>
      <c r="E39" s="28">
        <f t="shared" si="1"/>
        <v>12784.474726626771</v>
      </c>
      <c r="F39" s="28">
        <f t="shared" si="2"/>
        <v>12784.5</v>
      </c>
      <c r="G39" s="28">
        <f t="shared" si="3"/>
        <v>-9.4900000040070154E-3</v>
      </c>
      <c r="K39" s="28">
        <f t="shared" si="9"/>
        <v>-9.4900000040070154E-3</v>
      </c>
      <c r="P39" s="36">
        <f t="shared" si="5"/>
        <v>-9.2491862020999127E-3</v>
      </c>
      <c r="Q39" s="29">
        <f t="shared" si="6"/>
        <v>37674.886299999998</v>
      </c>
      <c r="R39" s="28">
        <f t="shared" si="7"/>
        <v>5.7991287188953286E-8</v>
      </c>
      <c r="S39" s="28">
        <v>1</v>
      </c>
      <c r="T39" s="28">
        <f t="shared" si="8"/>
        <v>5.7991287188953286E-8</v>
      </c>
      <c r="AA39" s="41" t="s">
        <v>57</v>
      </c>
      <c r="AB39" s="41" t="s">
        <v>58</v>
      </c>
    </row>
    <row r="40" spans="1:28" ht="12.95" customHeight="1" x14ac:dyDescent="0.2">
      <c r="A40" s="28" t="s">
        <v>52</v>
      </c>
      <c r="B40" s="41" t="s">
        <v>56</v>
      </c>
      <c r="C40" s="56">
        <v>52693.386400000003</v>
      </c>
      <c r="D40" s="56">
        <v>1E-4</v>
      </c>
      <c r="E40" s="28">
        <f t="shared" si="1"/>
        <v>12784.474992942625</v>
      </c>
      <c r="F40" s="28">
        <f t="shared" si="2"/>
        <v>12784.5</v>
      </c>
      <c r="G40" s="28">
        <f t="shared" si="3"/>
        <v>-9.3899999992572702E-3</v>
      </c>
      <c r="K40" s="28">
        <f t="shared" si="9"/>
        <v>-9.3899999992572702E-3</v>
      </c>
      <c r="P40" s="36">
        <f t="shared" si="5"/>
        <v>-9.2491862020999127E-3</v>
      </c>
      <c r="Q40" s="29">
        <f t="shared" si="6"/>
        <v>37674.886400000003</v>
      </c>
      <c r="R40" s="28">
        <f t="shared" si="7"/>
        <v>1.9828525469873431E-8</v>
      </c>
      <c r="S40" s="28">
        <v>1</v>
      </c>
      <c r="T40" s="28">
        <f t="shared" si="8"/>
        <v>1.9828525469873431E-8</v>
      </c>
      <c r="AA40" s="41" t="s">
        <v>59</v>
      </c>
      <c r="AB40" s="41" t="s">
        <v>61</v>
      </c>
    </row>
    <row r="41" spans="1:28" ht="12.95" customHeight="1" x14ac:dyDescent="0.2">
      <c r="A41" s="8" t="s">
        <v>52</v>
      </c>
      <c r="B41" s="7" t="s">
        <v>53</v>
      </c>
      <c r="C41" s="6">
        <v>52693.5772</v>
      </c>
      <c r="D41" s="6">
        <v>2.0000000000000001E-4</v>
      </c>
      <c r="E41" s="8">
        <f t="shared" si="1"/>
        <v>12784.983123565209</v>
      </c>
      <c r="F41" s="28">
        <f t="shared" si="2"/>
        <v>12785</v>
      </c>
      <c r="G41" s="28">
        <f t="shared" si="3"/>
        <v>-6.3370000061695464E-3</v>
      </c>
      <c r="K41" s="28">
        <f t="shared" si="9"/>
        <v>-6.3370000061695464E-3</v>
      </c>
      <c r="P41" s="36">
        <f t="shared" si="5"/>
        <v>-9.2511789773445791E-3</v>
      </c>
      <c r="Q41" s="29">
        <f t="shared" si="6"/>
        <v>37675.0772</v>
      </c>
      <c r="R41" s="28">
        <f t="shared" si="7"/>
        <v>8.4924390760387713E-6</v>
      </c>
      <c r="S41" s="28">
        <v>0.8</v>
      </c>
      <c r="T41" s="28">
        <f t="shared" si="8"/>
        <v>6.7939512608310176E-6</v>
      </c>
      <c r="AA41" s="41" t="s">
        <v>59</v>
      </c>
      <c r="AB41" s="41" t="s">
        <v>61</v>
      </c>
    </row>
    <row r="42" spans="1:28" ht="12.95" customHeight="1" x14ac:dyDescent="0.2">
      <c r="A42" s="8" t="s">
        <v>52</v>
      </c>
      <c r="B42" s="7" t="s">
        <v>53</v>
      </c>
      <c r="C42" s="6">
        <v>52695.453999999998</v>
      </c>
      <c r="D42" s="6">
        <v>5.9999999999999995E-4</v>
      </c>
      <c r="E42" s="8">
        <f t="shared" si="1"/>
        <v>12789.981339249076</v>
      </c>
      <c r="F42" s="28">
        <f t="shared" si="2"/>
        <v>12790</v>
      </c>
      <c r="G42" s="28">
        <f t="shared" si="3"/>
        <v>-7.0070000074338168E-3</v>
      </c>
      <c r="K42" s="28">
        <f t="shared" si="9"/>
        <v>-7.0070000074338168E-3</v>
      </c>
      <c r="P42" s="36">
        <f t="shared" si="5"/>
        <v>-9.2710999261456095E-3</v>
      </c>
      <c r="Q42" s="29">
        <f t="shared" si="6"/>
        <v>37676.953999999998</v>
      </c>
      <c r="R42" s="28">
        <f t="shared" si="7"/>
        <v>5.1261484419107465E-6</v>
      </c>
      <c r="S42" s="28">
        <v>0.8</v>
      </c>
      <c r="T42" s="28">
        <f t="shared" si="8"/>
        <v>4.1009187535285974E-6</v>
      </c>
      <c r="AA42" s="41" t="s">
        <v>59</v>
      </c>
      <c r="AB42" s="41" t="s">
        <v>61</v>
      </c>
    </row>
    <row r="43" spans="1:28" ht="12.95" customHeight="1" x14ac:dyDescent="0.2">
      <c r="A43" s="6" t="s">
        <v>62</v>
      </c>
      <c r="B43" s="7" t="s">
        <v>53</v>
      </c>
      <c r="C43" s="6">
        <v>52754.405700000003</v>
      </c>
      <c r="D43" s="6">
        <v>8.0000000000000004E-4</v>
      </c>
      <c r="E43" s="8">
        <f t="shared" si="1"/>
        <v>12946.979054259184</v>
      </c>
      <c r="F43" s="28">
        <f t="shared" si="2"/>
        <v>12947</v>
      </c>
      <c r="G43" s="28">
        <f t="shared" si="3"/>
        <v>-7.8649999995832331E-3</v>
      </c>
      <c r="K43" s="28">
        <f t="shared" si="9"/>
        <v>-7.8649999995832331E-3</v>
      </c>
      <c r="P43" s="36">
        <f t="shared" si="5"/>
        <v>-9.8903252121528146E-3</v>
      </c>
      <c r="Q43" s="29">
        <f t="shared" si="6"/>
        <v>37735.905700000003</v>
      </c>
      <c r="R43" s="28">
        <f t="shared" si="7"/>
        <v>4.1019422166700203E-6</v>
      </c>
      <c r="S43" s="28">
        <v>0.8</v>
      </c>
      <c r="T43" s="28">
        <f t="shared" si="8"/>
        <v>3.2815537733360163E-6</v>
      </c>
    </row>
    <row r="44" spans="1:28" ht="12.95" customHeight="1" x14ac:dyDescent="0.2">
      <c r="A44" s="6" t="s">
        <v>63</v>
      </c>
      <c r="B44" s="7" t="s">
        <v>53</v>
      </c>
      <c r="C44" s="6">
        <v>53441.896000000001</v>
      </c>
      <c r="D44" s="6">
        <v>1E-3</v>
      </c>
      <c r="E44" s="8">
        <f t="shared" si="1"/>
        <v>14777.874621165705</v>
      </c>
      <c r="F44" s="28">
        <f t="shared" si="2"/>
        <v>14778</v>
      </c>
      <c r="G44" s="28">
        <f t="shared" si="3"/>
        <v>-4.7079000003577676E-2</v>
      </c>
      <c r="K44" s="28">
        <f t="shared" si="9"/>
        <v>-4.7079000003577676E-2</v>
      </c>
      <c r="P44" s="36">
        <f t="shared" si="5"/>
        <v>-1.621142859731229E-2</v>
      </c>
      <c r="Q44" s="29">
        <f t="shared" si="6"/>
        <v>38423.396000000001</v>
      </c>
      <c r="R44" s="28">
        <f t="shared" si="7"/>
        <v>9.5280696452089246E-4</v>
      </c>
      <c r="U44" s="28">
        <f>G44</f>
        <v>-4.7079000003577676E-2</v>
      </c>
    </row>
    <row r="45" spans="1:28" ht="12.95" customHeight="1" x14ac:dyDescent="0.2">
      <c r="A45" s="8" t="s">
        <v>64</v>
      </c>
      <c r="B45" s="59" t="s">
        <v>53</v>
      </c>
      <c r="C45" s="6">
        <v>53511.3923</v>
      </c>
      <c r="D45" s="6">
        <v>1E-4</v>
      </c>
      <c r="E45" s="8">
        <f t="shared" si="1"/>
        <v>14962.954276233426</v>
      </c>
      <c r="F45" s="28">
        <f t="shared" si="2"/>
        <v>14963</v>
      </c>
      <c r="G45" s="28">
        <f t="shared" si="3"/>
        <v>-1.7169000006106216E-2</v>
      </c>
      <c r="K45" s="28">
        <f t="shared" si="9"/>
        <v>-1.7169000006106216E-2</v>
      </c>
      <c r="P45" s="36">
        <f t="shared" si="5"/>
        <v>-1.6757825965844686E-2</v>
      </c>
      <c r="Q45" s="29">
        <f t="shared" si="6"/>
        <v>38492.8923</v>
      </c>
      <c r="R45" s="28">
        <f t="shared" si="7"/>
        <v>1.6906409138499069E-7</v>
      </c>
      <c r="S45" s="28">
        <v>1</v>
      </c>
      <c r="T45" s="28">
        <f t="shared" ref="T45:T52" si="10">+S45*R45</f>
        <v>1.6906409138499069E-7</v>
      </c>
    </row>
    <row r="46" spans="1:28" ht="12.95" customHeight="1" x14ac:dyDescent="0.2">
      <c r="A46" s="60" t="s">
        <v>63</v>
      </c>
      <c r="B46" s="8"/>
      <c r="C46" s="6">
        <v>53717.911574735212</v>
      </c>
      <c r="D46" s="6">
        <v>2.0000000000000001E-4</v>
      </c>
      <c r="E46" s="8">
        <f t="shared" si="1"/>
        <v>15512.947817369137</v>
      </c>
      <c r="F46" s="28">
        <f t="shared" si="2"/>
        <v>15513</v>
      </c>
      <c r="G46" s="28">
        <f t="shared" si="3"/>
        <v>-1.9594264791521709E-2</v>
      </c>
      <c r="K46" s="28">
        <f t="shared" si="9"/>
        <v>-1.9594264791521709E-2</v>
      </c>
      <c r="P46" s="36">
        <f t="shared" si="5"/>
        <v>-1.8282236983339147E-2</v>
      </c>
      <c r="Q46" s="29">
        <f t="shared" si="6"/>
        <v>38699.411574735212</v>
      </c>
      <c r="R46" s="28">
        <f t="shared" si="7"/>
        <v>1.7214169694443399E-6</v>
      </c>
      <c r="S46" s="28">
        <v>0.8</v>
      </c>
      <c r="T46" s="28">
        <f t="shared" si="10"/>
        <v>1.377133575555472E-6</v>
      </c>
    </row>
    <row r="47" spans="1:28" ht="12.95" customHeight="1" x14ac:dyDescent="0.2">
      <c r="A47" s="8" t="s">
        <v>65</v>
      </c>
      <c r="B47" s="61"/>
      <c r="C47" s="62">
        <v>53834.318200000002</v>
      </c>
      <c r="D47" s="6">
        <v>3.0000000000000001E-3</v>
      </c>
      <c r="E47" s="8">
        <f t="shared" si="1"/>
        <v>15822.957099181334</v>
      </c>
      <c r="F47" s="28">
        <f t="shared" si="2"/>
        <v>15823</v>
      </c>
      <c r="G47" s="28">
        <f t="shared" si="3"/>
        <v>-1.6109000003780238E-2</v>
      </c>
      <c r="I47" s="57">
        <f>G47</f>
        <v>-1.6109000003780238E-2</v>
      </c>
      <c r="P47" s="36">
        <f t="shared" si="5"/>
        <v>-1.9075492213520041E-2</v>
      </c>
      <c r="Q47" s="29">
        <f t="shared" si="6"/>
        <v>38815.818200000002</v>
      </c>
      <c r="R47" s="28">
        <f t="shared" si="7"/>
        <v>8.8000760304469398E-6</v>
      </c>
      <c r="S47" s="28">
        <v>0.3</v>
      </c>
      <c r="T47" s="28">
        <f t="shared" si="10"/>
        <v>2.6400228091340817E-6</v>
      </c>
    </row>
    <row r="48" spans="1:28" ht="12.95" customHeight="1" x14ac:dyDescent="0.2">
      <c r="A48" s="60" t="s">
        <v>66</v>
      </c>
      <c r="B48" s="8"/>
      <c r="C48" s="6">
        <v>54085.894</v>
      </c>
      <c r="D48" s="6">
        <v>2.9999999999999997E-4</v>
      </c>
      <c r="E48" s="8">
        <f t="shared" si="1"/>
        <v>16492.943304020824</v>
      </c>
      <c r="F48" s="28">
        <f t="shared" si="2"/>
        <v>16493</v>
      </c>
      <c r="G48" s="28">
        <f t="shared" si="3"/>
        <v>-2.1289000003889669E-2</v>
      </c>
      <c r="K48" s="28">
        <f>G48</f>
        <v>-2.1289000003889669E-2</v>
      </c>
      <c r="P48" s="36">
        <f t="shared" si="5"/>
        <v>-2.0627500747278094E-2</v>
      </c>
      <c r="Q48" s="29">
        <f t="shared" si="6"/>
        <v>39067.394</v>
      </c>
      <c r="R48" s="28">
        <f t="shared" si="7"/>
        <v>4.3758126649766655E-7</v>
      </c>
      <c r="S48" s="28">
        <v>1</v>
      </c>
      <c r="T48" s="28">
        <f t="shared" si="10"/>
        <v>4.3758126649766655E-7</v>
      </c>
    </row>
    <row r="49" spans="1:21" ht="12.95" customHeight="1" x14ac:dyDescent="0.2">
      <c r="A49" s="6" t="s">
        <v>67</v>
      </c>
      <c r="B49" s="7" t="s">
        <v>53</v>
      </c>
      <c r="C49" s="6">
        <v>54418.955800000003</v>
      </c>
      <c r="D49" s="6">
        <v>2.9999999999999997E-4</v>
      </c>
      <c r="E49" s="8">
        <f t="shared" si="1"/>
        <v>17379.939634188559</v>
      </c>
      <c r="F49" s="28">
        <f t="shared" si="2"/>
        <v>17380</v>
      </c>
      <c r="G49" s="28">
        <f t="shared" si="3"/>
        <v>-2.2667000004730653E-2</v>
      </c>
      <c r="K49" s="28">
        <f>G49</f>
        <v>-2.2667000004730653E-2</v>
      </c>
      <c r="P49" s="36">
        <f t="shared" si="5"/>
        <v>-2.2340493418278221E-2</v>
      </c>
      <c r="Q49" s="29">
        <f t="shared" si="6"/>
        <v>39400.455800000003</v>
      </c>
      <c r="R49" s="28">
        <f t="shared" si="7"/>
        <v>1.0660655099681976E-7</v>
      </c>
      <c r="S49" s="28">
        <v>1</v>
      </c>
      <c r="T49" s="28">
        <f t="shared" si="10"/>
        <v>1.0660655099681976E-7</v>
      </c>
    </row>
    <row r="50" spans="1:21" ht="12.95" customHeight="1" x14ac:dyDescent="0.2">
      <c r="A50" s="63" t="s">
        <v>68</v>
      </c>
      <c r="B50" s="59" t="s">
        <v>53</v>
      </c>
      <c r="C50" s="63">
        <v>54424.587200000002</v>
      </c>
      <c r="D50" s="63">
        <v>2.0000000000000001E-4</v>
      </c>
      <c r="E50" s="8">
        <f t="shared" si="1"/>
        <v>17394.936944398571</v>
      </c>
      <c r="F50" s="28">
        <f t="shared" si="2"/>
        <v>17395</v>
      </c>
      <c r="G50" s="28">
        <f t="shared" si="3"/>
        <v>-2.3677000004681759E-2</v>
      </c>
      <c r="K50" s="28">
        <f>G50</f>
        <v>-2.3677000004681759E-2</v>
      </c>
      <c r="P50" s="36">
        <f t="shared" si="5"/>
        <v>-2.2366114333578005E-2</v>
      </c>
      <c r="Q50" s="29">
        <f t="shared" si="6"/>
        <v>39406.087200000002</v>
      </c>
      <c r="R50" s="28">
        <f t="shared" si="7"/>
        <v>1.7184212427051385E-6</v>
      </c>
      <c r="S50" s="28">
        <v>0.8</v>
      </c>
      <c r="T50" s="28">
        <f t="shared" si="10"/>
        <v>1.3747369941641108E-6</v>
      </c>
    </row>
    <row r="51" spans="1:21" ht="12.95" customHeight="1" x14ac:dyDescent="0.2">
      <c r="A51" s="63" t="s">
        <v>68</v>
      </c>
      <c r="B51" s="59" t="s">
        <v>53</v>
      </c>
      <c r="C51" s="63">
        <v>54532.3577</v>
      </c>
      <c r="D51" s="63">
        <v>2.0000000000000001E-4</v>
      </c>
      <c r="E51" s="8">
        <f t="shared" si="1"/>
        <v>17681.946856674127</v>
      </c>
      <c r="F51" s="28">
        <f t="shared" si="2"/>
        <v>17682</v>
      </c>
      <c r="G51" s="28">
        <f t="shared" si="3"/>
        <v>-1.9955000003392342E-2</v>
      </c>
      <c r="K51" s="28">
        <f>G51</f>
        <v>-1.9955000003392342E-2</v>
      </c>
      <c r="P51" s="36">
        <f t="shared" si="5"/>
        <v>-2.2834884239528216E-2</v>
      </c>
      <c r="Q51" s="29">
        <f t="shared" si="6"/>
        <v>39513.8577</v>
      </c>
      <c r="R51" s="28">
        <f t="shared" si="7"/>
        <v>8.2937332135439061E-6</v>
      </c>
      <c r="S51" s="28">
        <v>0.8</v>
      </c>
      <c r="T51" s="28">
        <f t="shared" si="10"/>
        <v>6.6349865708351256E-6</v>
      </c>
    </row>
    <row r="52" spans="1:21" ht="12.95" customHeight="1" x14ac:dyDescent="0.2">
      <c r="A52" s="63" t="s">
        <v>68</v>
      </c>
      <c r="B52" s="59" t="s">
        <v>56</v>
      </c>
      <c r="C52" s="63">
        <v>54532.541599999997</v>
      </c>
      <c r="D52" s="63">
        <v>2.9999999999999997E-4</v>
      </c>
      <c r="E52" s="8">
        <f t="shared" si="1"/>
        <v>17682.436611503756</v>
      </c>
      <c r="F52" s="28">
        <f t="shared" si="2"/>
        <v>17682.5</v>
      </c>
      <c r="G52" s="28">
        <f t="shared" si="3"/>
        <v>-2.380200001061894E-2</v>
      </c>
      <c r="K52" s="28">
        <f>G52</f>
        <v>-2.380200001061894E-2</v>
      </c>
      <c r="P52" s="36">
        <f t="shared" si="5"/>
        <v>-2.2835665347326672E-2</v>
      </c>
      <c r="Q52" s="29">
        <f t="shared" si="6"/>
        <v>39514.041599999997</v>
      </c>
      <c r="R52" s="28">
        <f t="shared" si="7"/>
        <v>9.3380268148018017E-7</v>
      </c>
      <c r="S52" s="28">
        <v>1</v>
      </c>
      <c r="T52" s="28">
        <f t="shared" si="10"/>
        <v>9.3380268148018017E-7</v>
      </c>
    </row>
    <row r="53" spans="1:21" ht="12.95" customHeight="1" x14ac:dyDescent="0.2">
      <c r="A53" s="6" t="s">
        <v>69</v>
      </c>
      <c r="B53" s="7" t="s">
        <v>56</v>
      </c>
      <c r="C53" s="6">
        <v>54818.9856</v>
      </c>
      <c r="D53" s="6">
        <v>2.0000000000000001E-4</v>
      </c>
      <c r="E53" s="8">
        <f t="shared" ref="E53:E84" si="11">+(C53-C$7)/C$8</f>
        <v>18445.282356042957</v>
      </c>
      <c r="F53" s="28">
        <f t="shared" ref="F53:F84" si="12">ROUND(2*E53,0)/2</f>
        <v>18445.5</v>
      </c>
      <c r="P53" s="36">
        <f t="shared" ref="P53:P84" si="13">+D$11+D$12*F53+D$13*F53^2</f>
        <v>-2.3883509767798877E-2</v>
      </c>
      <c r="Q53" s="29">
        <f t="shared" ref="Q53:Q84" si="14">+C53-15018.5</f>
        <v>39800.4856</v>
      </c>
      <c r="R53" s="28">
        <f t="shared" ref="R53:R89" si="15">+(P53-G53)^2</f>
        <v>5.7042203882854434E-4</v>
      </c>
      <c r="U53" s="28">
        <f>+C53-(C$7+F53*C$8)</f>
        <v>-8.1724000003305264E-2</v>
      </c>
    </row>
    <row r="54" spans="1:21" ht="12.95" customHeight="1" x14ac:dyDescent="0.2">
      <c r="A54" s="6" t="s">
        <v>69</v>
      </c>
      <c r="B54" s="7" t="s">
        <v>53</v>
      </c>
      <c r="C54" s="6">
        <v>54833.499799999998</v>
      </c>
      <c r="D54" s="6">
        <v>2.0000000000000001E-4</v>
      </c>
      <c r="E54" s="8">
        <f t="shared" si="11"/>
        <v>18483.935969682585</v>
      </c>
      <c r="F54" s="28">
        <f t="shared" si="12"/>
        <v>18484</v>
      </c>
      <c r="G54" s="28">
        <f t="shared" ref="G54:G89" si="16">+C54-(C$7+F54*C$8)</f>
        <v>-2.4043000004894566E-2</v>
      </c>
      <c r="J54" s="28">
        <f>G54</f>
        <v>-2.4043000004894566E-2</v>
      </c>
      <c r="P54" s="36">
        <f t="shared" si="13"/>
        <v>-2.3928748280570955E-2</v>
      </c>
      <c r="Q54" s="29">
        <f t="shared" si="14"/>
        <v>39814.999799999998</v>
      </c>
      <c r="R54" s="28">
        <f t="shared" si="15"/>
        <v>1.3053456510918348E-8</v>
      </c>
      <c r="S54" s="28">
        <v>1</v>
      </c>
      <c r="T54" s="28">
        <f t="shared" ref="T54:T95" si="17">+S54*R54</f>
        <v>1.3053456510918348E-8</v>
      </c>
    </row>
    <row r="55" spans="1:21" ht="12.95" customHeight="1" x14ac:dyDescent="0.2">
      <c r="A55" s="6" t="s">
        <v>69</v>
      </c>
      <c r="B55" s="7" t="s">
        <v>53</v>
      </c>
      <c r="C55" s="6">
        <v>54843.450100000002</v>
      </c>
      <c r="D55" s="6">
        <v>2.0000000000000001E-4</v>
      </c>
      <c r="E55" s="8">
        <f t="shared" si="11"/>
        <v>18510.435194703503</v>
      </c>
      <c r="F55" s="28">
        <f t="shared" si="12"/>
        <v>18510.5</v>
      </c>
      <c r="G55" s="28">
        <f t="shared" si="16"/>
        <v>-2.4334000001545064E-2</v>
      </c>
      <c r="J55" s="28">
        <f>G55</f>
        <v>-2.4334000001545064E-2</v>
      </c>
      <c r="P55" s="36">
        <f t="shared" si="13"/>
        <v>-2.3959460322048279E-2</v>
      </c>
      <c r="Q55" s="29">
        <f t="shared" si="14"/>
        <v>39824.950100000002</v>
      </c>
      <c r="R55" s="28">
        <f t="shared" si="15"/>
        <v>1.4027997151755469E-7</v>
      </c>
      <c r="S55" s="28">
        <v>1</v>
      </c>
      <c r="T55" s="28">
        <f t="shared" si="17"/>
        <v>1.4027997151755469E-7</v>
      </c>
    </row>
    <row r="56" spans="1:21" ht="12.95" customHeight="1" x14ac:dyDescent="0.2">
      <c r="A56" s="6" t="s">
        <v>69</v>
      </c>
      <c r="B56" s="7" t="s">
        <v>56</v>
      </c>
      <c r="C56" s="6">
        <v>54852.462699999996</v>
      </c>
      <c r="D56" s="6">
        <v>2.9999999999999997E-4</v>
      </c>
      <c r="E56" s="8">
        <f t="shared" si="11"/>
        <v>18534.437176093335</v>
      </c>
      <c r="F56" s="28">
        <f t="shared" si="12"/>
        <v>18534.5</v>
      </c>
      <c r="G56" s="28">
        <f t="shared" si="16"/>
        <v>-2.3590000011608936E-2</v>
      </c>
      <c r="J56" s="28">
        <f>G56</f>
        <v>-2.3590000011608936E-2</v>
      </c>
      <c r="P56" s="36">
        <f t="shared" si="13"/>
        <v>-2.3986975145901049E-2</v>
      </c>
      <c r="Q56" s="29">
        <f t="shared" si="14"/>
        <v>39833.962699999996</v>
      </c>
      <c r="R56" s="28">
        <f t="shared" si="15"/>
        <v>1.5758925724624111E-7</v>
      </c>
      <c r="S56" s="28">
        <v>1</v>
      </c>
      <c r="T56" s="28">
        <f t="shared" si="17"/>
        <v>1.5758925724624111E-7</v>
      </c>
    </row>
    <row r="57" spans="1:21" ht="12.95" customHeight="1" x14ac:dyDescent="0.2">
      <c r="A57" s="60" t="s">
        <v>70</v>
      </c>
      <c r="B57" s="8"/>
      <c r="C57" s="6">
        <v>54872.736700000001</v>
      </c>
      <c r="D57" s="6">
        <v>4.0000000000000002E-4</v>
      </c>
      <c r="E57" s="8">
        <f t="shared" si="11"/>
        <v>18588.430049481474</v>
      </c>
      <c r="F57" s="28">
        <f t="shared" si="12"/>
        <v>18588.5</v>
      </c>
      <c r="G57" s="28">
        <f t="shared" si="16"/>
        <v>-2.6266000000759959E-2</v>
      </c>
      <c r="K57" s="28">
        <f>G57</f>
        <v>-2.6266000000759959E-2</v>
      </c>
      <c r="P57" s="36">
        <f t="shared" si="13"/>
        <v>-2.4047841428455299E-2</v>
      </c>
      <c r="Q57" s="29">
        <f t="shared" si="14"/>
        <v>39854.236700000001</v>
      </c>
      <c r="R57" s="28">
        <f t="shared" si="15"/>
        <v>4.9202274518886465E-6</v>
      </c>
      <c r="S57" s="28">
        <v>0.8</v>
      </c>
      <c r="T57" s="28">
        <f t="shared" si="17"/>
        <v>3.9361819615109174E-6</v>
      </c>
    </row>
    <row r="58" spans="1:21" ht="12.95" customHeight="1" x14ac:dyDescent="0.2">
      <c r="A58" s="63" t="s">
        <v>68</v>
      </c>
      <c r="B58" s="59" t="s">
        <v>53</v>
      </c>
      <c r="C58" s="64">
        <v>54912.353000000003</v>
      </c>
      <c r="D58" s="64">
        <v>2.0000000000000001E-4</v>
      </c>
      <c r="E58" s="28">
        <f t="shared" si="11"/>
        <v>18693.934531577062</v>
      </c>
      <c r="F58" s="28">
        <f t="shared" si="12"/>
        <v>18694</v>
      </c>
      <c r="G58" s="28">
        <f t="shared" si="16"/>
        <v>-2.4583000005804934E-2</v>
      </c>
      <c r="K58" s="28">
        <f>G58</f>
        <v>-2.4583000005804934E-2</v>
      </c>
      <c r="P58" s="36">
        <f t="shared" si="13"/>
        <v>-2.416259295931393E-2</v>
      </c>
      <c r="Q58" s="29">
        <f t="shared" si="14"/>
        <v>39893.853000000003</v>
      </c>
      <c r="R58" s="28">
        <f t="shared" si="15"/>
        <v>1.7674208473928847E-7</v>
      </c>
      <c r="S58" s="28">
        <v>1</v>
      </c>
      <c r="T58" s="28">
        <f t="shared" si="17"/>
        <v>1.7674208473928847E-7</v>
      </c>
    </row>
    <row r="59" spans="1:21" ht="12.95" customHeight="1" x14ac:dyDescent="0.2">
      <c r="A59" s="63" t="s">
        <v>68</v>
      </c>
      <c r="B59" s="59" t="s">
        <v>56</v>
      </c>
      <c r="C59" s="63">
        <v>54922.305200000003</v>
      </c>
      <c r="D59" s="63">
        <v>2.0000000000000001E-4</v>
      </c>
      <c r="E59" s="28">
        <f t="shared" si="11"/>
        <v>18720.438816598926</v>
      </c>
      <c r="F59" s="28">
        <f t="shared" si="12"/>
        <v>18720.5</v>
      </c>
      <c r="G59" s="28">
        <f t="shared" si="16"/>
        <v>-2.2974000006797723E-2</v>
      </c>
      <c r="K59" s="28">
        <f>G59</f>
        <v>-2.2974000006797723E-2</v>
      </c>
      <c r="P59" s="36">
        <f t="shared" si="13"/>
        <v>-2.4190551379826175E-2</v>
      </c>
      <c r="Q59" s="29">
        <f t="shared" si="14"/>
        <v>39903.805200000003</v>
      </c>
      <c r="R59" s="28">
        <f t="shared" si="15"/>
        <v>1.4799972432174108E-6</v>
      </c>
      <c r="S59" s="28">
        <v>1</v>
      </c>
      <c r="T59" s="28">
        <f t="shared" si="17"/>
        <v>1.4799972432174108E-6</v>
      </c>
    </row>
    <row r="60" spans="1:21" ht="12.95" customHeight="1" x14ac:dyDescent="0.2">
      <c r="A60" s="6" t="s">
        <v>69</v>
      </c>
      <c r="B60" s="7" t="s">
        <v>53</v>
      </c>
      <c r="C60" s="6">
        <v>54932.445200000002</v>
      </c>
      <c r="D60" s="6">
        <v>2.0000000000000001E-4</v>
      </c>
      <c r="E60" s="28">
        <f t="shared" si="11"/>
        <v>18747.443242768186</v>
      </c>
      <c r="F60" s="28">
        <f t="shared" si="12"/>
        <v>18747.5</v>
      </c>
      <c r="G60" s="28">
        <f t="shared" si="16"/>
        <v>-2.1312000004400034E-2</v>
      </c>
      <c r="J60" s="28">
        <f>G60</f>
        <v>-2.1312000004400034E-2</v>
      </c>
      <c r="P60" s="36">
        <f t="shared" si="13"/>
        <v>-2.4218679940753829E-2</v>
      </c>
      <c r="Q60" s="29">
        <f t="shared" si="14"/>
        <v>39913.945200000002</v>
      </c>
      <c r="R60" s="28">
        <f t="shared" si="15"/>
        <v>8.4487882524017033E-6</v>
      </c>
      <c r="S60" s="28">
        <v>0.8</v>
      </c>
      <c r="T60" s="28">
        <f t="shared" si="17"/>
        <v>6.759030601921363E-6</v>
      </c>
    </row>
    <row r="61" spans="1:21" ht="12.95" customHeight="1" x14ac:dyDescent="0.2">
      <c r="A61" s="61" t="s">
        <v>71</v>
      </c>
      <c r="B61" s="59" t="s">
        <v>53</v>
      </c>
      <c r="C61" s="63">
        <v>55272.452599999997</v>
      </c>
      <c r="D61" s="63">
        <v>5.0000000000000001E-4</v>
      </c>
      <c r="E61" s="28">
        <f t="shared" si="11"/>
        <v>19652.93680591432</v>
      </c>
      <c r="F61" s="28">
        <f t="shared" si="12"/>
        <v>19653</v>
      </c>
      <c r="G61" s="28">
        <f t="shared" si="16"/>
        <v>-2.3729000007733703E-2</v>
      </c>
      <c r="K61" s="28">
        <f t="shared" ref="K61:K89" si="18">G61</f>
        <v>-2.3729000007733703E-2</v>
      </c>
      <c r="P61" s="36">
        <f t="shared" si="13"/>
        <v>-2.4953124754240663E-2</v>
      </c>
      <c r="Q61" s="29">
        <f t="shared" si="14"/>
        <v>40253.952599999997</v>
      </c>
      <c r="R61" s="28">
        <f t="shared" si="15"/>
        <v>1.4984813950107303E-6</v>
      </c>
      <c r="S61" s="28">
        <v>1</v>
      </c>
      <c r="T61" s="28">
        <f t="shared" si="17"/>
        <v>1.4984813950107303E-6</v>
      </c>
    </row>
    <row r="62" spans="1:21" ht="12.95" customHeight="1" x14ac:dyDescent="0.2">
      <c r="A62" s="8" t="s">
        <v>72</v>
      </c>
      <c r="B62" s="59" t="s">
        <v>53</v>
      </c>
      <c r="C62" s="63">
        <v>55684.366600000001</v>
      </c>
      <c r="D62" s="63">
        <v>5.9999999999999995E-4</v>
      </c>
      <c r="E62" s="8">
        <f t="shared" si="11"/>
        <v>20749.929034818124</v>
      </c>
      <c r="F62" s="28">
        <f t="shared" si="12"/>
        <v>20750</v>
      </c>
      <c r="G62" s="28">
        <f t="shared" si="16"/>
        <v>-2.6647000006050803E-2</v>
      </c>
      <c r="K62" s="28">
        <f t="shared" si="18"/>
        <v>-2.6647000006050803E-2</v>
      </c>
      <c r="P62" s="36">
        <f t="shared" si="13"/>
        <v>-2.5299408166283469E-2</v>
      </c>
      <c r="Q62" s="29">
        <f t="shared" si="14"/>
        <v>40665.866600000001</v>
      </c>
      <c r="R62" s="28">
        <f t="shared" si="15"/>
        <v>1.8160037666075085E-6</v>
      </c>
      <c r="S62" s="28">
        <v>1</v>
      </c>
      <c r="T62" s="28">
        <f t="shared" si="17"/>
        <v>1.8160037666075085E-6</v>
      </c>
    </row>
    <row r="63" spans="1:21" ht="12.95" customHeight="1" x14ac:dyDescent="0.2">
      <c r="A63" s="60" t="s">
        <v>73</v>
      </c>
      <c r="B63" s="8"/>
      <c r="C63" s="6">
        <v>55907.974285002667</v>
      </c>
      <c r="D63" s="6">
        <v>2.9999999999999997E-4</v>
      </c>
      <c r="E63" s="8">
        <f t="shared" si="11"/>
        <v>21345.431719288888</v>
      </c>
      <c r="F63" s="28">
        <f t="shared" si="12"/>
        <v>21345.5</v>
      </c>
      <c r="G63" s="28">
        <f t="shared" si="16"/>
        <v>-2.5638997336500324E-2</v>
      </c>
      <c r="K63" s="28">
        <f t="shared" si="18"/>
        <v>-2.5638997336500324E-2</v>
      </c>
      <c r="P63" s="36">
        <f t="shared" si="13"/>
        <v>-2.5238030301110964E-2</v>
      </c>
      <c r="Q63" s="29">
        <f t="shared" si="14"/>
        <v>40889.474285002667</v>
      </c>
      <c r="R63" s="28">
        <f t="shared" si="15"/>
        <v>1.6077456346893243E-7</v>
      </c>
      <c r="S63" s="28">
        <v>1</v>
      </c>
      <c r="T63" s="28">
        <f t="shared" si="17"/>
        <v>1.6077456346893243E-7</v>
      </c>
    </row>
    <row r="64" spans="1:21" ht="12.95" customHeight="1" x14ac:dyDescent="0.2">
      <c r="A64" s="60" t="s">
        <v>74</v>
      </c>
      <c r="B64" s="8"/>
      <c r="C64" s="6">
        <v>56304.871599999999</v>
      </c>
      <c r="D64" s="6">
        <v>5.0000000000000001E-4</v>
      </c>
      <c r="E64" s="8">
        <f t="shared" si="11"/>
        <v>22402.432137397649</v>
      </c>
      <c r="F64" s="28">
        <f t="shared" si="12"/>
        <v>22402.5</v>
      </c>
      <c r="G64" s="28">
        <f t="shared" si="16"/>
        <v>-2.5482000004558358E-2</v>
      </c>
      <c r="K64" s="28">
        <f t="shared" si="18"/>
        <v>-2.5482000004558358E-2</v>
      </c>
      <c r="P64" s="36">
        <f t="shared" si="13"/>
        <v>-2.4696944900582787E-2</v>
      </c>
      <c r="Q64" s="29">
        <f t="shared" si="14"/>
        <v>41286.371599999999</v>
      </c>
      <c r="R64" s="28">
        <f t="shared" si="15"/>
        <v>6.1631151627809456E-7</v>
      </c>
      <c r="S64" s="28">
        <v>1</v>
      </c>
      <c r="T64" s="28">
        <f t="shared" si="17"/>
        <v>6.1631151627809456E-7</v>
      </c>
    </row>
    <row r="65" spans="1:20" ht="12.95" customHeight="1" x14ac:dyDescent="0.2">
      <c r="A65" s="6" t="s">
        <v>75</v>
      </c>
      <c r="B65" s="7" t="s">
        <v>53</v>
      </c>
      <c r="C65" s="6">
        <v>56357.252999999997</v>
      </c>
      <c r="D65" s="6">
        <v>2.0000000000000001E-4</v>
      </c>
      <c r="E65" s="8">
        <f t="shared" si="11"/>
        <v>22541.932102776587</v>
      </c>
      <c r="F65" s="28">
        <f t="shared" si="12"/>
        <v>22542</v>
      </c>
      <c r="G65" s="28">
        <f t="shared" si="16"/>
        <v>-2.5495000008959323E-2</v>
      </c>
      <c r="K65" s="28">
        <f t="shared" si="18"/>
        <v>-2.5495000008959323E-2</v>
      </c>
      <c r="P65" s="36">
        <f t="shared" si="13"/>
        <v>-2.4584239062250823E-2</v>
      </c>
      <c r="Q65" s="29">
        <f t="shared" si="14"/>
        <v>41338.752999999997</v>
      </c>
      <c r="R65" s="28">
        <f t="shared" si="15"/>
        <v>8.2948550204936284E-7</v>
      </c>
      <c r="S65" s="28">
        <v>1</v>
      </c>
      <c r="T65" s="28">
        <f t="shared" si="17"/>
        <v>8.2948550204936284E-7</v>
      </c>
    </row>
    <row r="66" spans="1:20" ht="12.95" customHeight="1" x14ac:dyDescent="0.2">
      <c r="A66" s="6" t="s">
        <v>76</v>
      </c>
      <c r="B66" s="7" t="s">
        <v>53</v>
      </c>
      <c r="C66" s="6">
        <v>56403.440999999999</v>
      </c>
      <c r="D66" s="6">
        <v>1.4E-3</v>
      </c>
      <c r="E66" s="8">
        <f t="shared" si="11"/>
        <v>22664.938062925088</v>
      </c>
      <c r="F66" s="28">
        <f t="shared" si="12"/>
        <v>22665</v>
      </c>
      <c r="G66" s="28">
        <f t="shared" si="16"/>
        <v>-2.3257000008015893E-2</v>
      </c>
      <c r="K66" s="28">
        <f t="shared" si="18"/>
        <v>-2.3257000008015893E-2</v>
      </c>
      <c r="P66" s="36">
        <f t="shared" si="13"/>
        <v>-2.4476875923446828E-2</v>
      </c>
      <c r="Q66" s="29">
        <f t="shared" si="14"/>
        <v>41384.940999999999</v>
      </c>
      <c r="R66" s="28">
        <f t="shared" si="15"/>
        <v>1.4880972490484607E-6</v>
      </c>
      <c r="S66" s="28">
        <v>1</v>
      </c>
      <c r="T66" s="28">
        <f t="shared" si="17"/>
        <v>1.4880972490484607E-6</v>
      </c>
    </row>
    <row r="67" spans="1:20" ht="12.95" customHeight="1" x14ac:dyDescent="0.2">
      <c r="A67" s="6" t="s">
        <v>77</v>
      </c>
      <c r="B67" s="7" t="s">
        <v>56</v>
      </c>
      <c r="C67" s="6">
        <v>56614.657299999999</v>
      </c>
      <c r="D67" s="6">
        <v>8.0000000000000004E-4</v>
      </c>
      <c r="E67" s="8">
        <f t="shared" si="11"/>
        <v>23227.440526346611</v>
      </c>
      <c r="F67" s="28">
        <f t="shared" si="12"/>
        <v>23227.5</v>
      </c>
      <c r="G67" s="28">
        <f t="shared" si="16"/>
        <v>-2.2332000007736497E-2</v>
      </c>
      <c r="K67" s="28">
        <f t="shared" si="18"/>
        <v>-2.2332000007736497E-2</v>
      </c>
      <c r="P67" s="36">
        <f t="shared" si="13"/>
        <v>-2.3890488022836137E-2</v>
      </c>
      <c r="Q67" s="29">
        <f t="shared" si="14"/>
        <v>41596.157299999999</v>
      </c>
      <c r="R67" s="28">
        <f t="shared" si="15"/>
        <v>2.4288848932092174E-6</v>
      </c>
      <c r="S67" s="28">
        <v>1</v>
      </c>
      <c r="T67" s="28">
        <f t="shared" si="17"/>
        <v>2.4288848932092174E-6</v>
      </c>
    </row>
    <row r="68" spans="1:20" ht="12.95" customHeight="1" x14ac:dyDescent="0.2">
      <c r="A68" s="6" t="s">
        <v>76</v>
      </c>
      <c r="B68" s="7" t="s">
        <v>56</v>
      </c>
      <c r="C68" s="6">
        <v>56655.586000000003</v>
      </c>
      <c r="D68" s="6">
        <v>1.6999999999999999E-3</v>
      </c>
      <c r="E68" s="8">
        <f t="shared" si="11"/>
        <v>23336.440137525493</v>
      </c>
      <c r="F68" s="28">
        <f t="shared" si="12"/>
        <v>23336.5</v>
      </c>
      <c r="G68" s="28">
        <f t="shared" si="16"/>
        <v>-2.2478000006231014E-2</v>
      </c>
      <c r="K68" s="28">
        <f t="shared" si="18"/>
        <v>-2.2478000006231014E-2</v>
      </c>
      <c r="P68" s="36">
        <f t="shared" si="13"/>
        <v>-2.3758750618871838E-2</v>
      </c>
      <c r="Q68" s="29">
        <f t="shared" si="14"/>
        <v>41637.086000000003</v>
      </c>
      <c r="R68" s="28">
        <f t="shared" si="15"/>
        <v>1.6403221317798464E-6</v>
      </c>
      <c r="S68" s="28">
        <v>1</v>
      </c>
      <c r="T68" s="28">
        <f t="shared" si="17"/>
        <v>1.6403221317798464E-6</v>
      </c>
    </row>
    <row r="69" spans="1:20" ht="12.95" customHeight="1" x14ac:dyDescent="0.2">
      <c r="A69" s="6" t="s">
        <v>76</v>
      </c>
      <c r="B69" s="7" t="s">
        <v>56</v>
      </c>
      <c r="C69" s="6">
        <v>56657.462800000001</v>
      </c>
      <c r="D69" s="6">
        <v>5.9999999999999995E-4</v>
      </c>
      <c r="E69" s="8">
        <f t="shared" si="11"/>
        <v>23341.43835320936</v>
      </c>
      <c r="F69" s="28">
        <f t="shared" si="12"/>
        <v>23341.5</v>
      </c>
      <c r="G69" s="28">
        <f t="shared" si="16"/>
        <v>-2.3148000000219326E-2</v>
      </c>
      <c r="K69" s="28">
        <f t="shared" si="18"/>
        <v>-2.3148000000219326E-2</v>
      </c>
      <c r="P69" s="36">
        <f t="shared" si="13"/>
        <v>-2.3752566597670194E-2</v>
      </c>
      <c r="Q69" s="29">
        <f t="shared" si="14"/>
        <v>41638.962800000001</v>
      </c>
      <c r="R69" s="28">
        <f t="shared" si="15"/>
        <v>3.6550077075331915E-7</v>
      </c>
      <c r="S69" s="28">
        <v>1</v>
      </c>
      <c r="T69" s="28">
        <f t="shared" si="17"/>
        <v>3.6550077075331915E-7</v>
      </c>
    </row>
    <row r="70" spans="1:20" ht="12.95" customHeight="1" x14ac:dyDescent="0.2">
      <c r="A70" s="6" t="s">
        <v>76</v>
      </c>
      <c r="B70" s="7" t="s">
        <v>53</v>
      </c>
      <c r="C70" s="6">
        <v>56657.649599999997</v>
      </c>
      <c r="D70" s="6">
        <v>5.0000000000000001E-4</v>
      </c>
      <c r="E70" s="8">
        <f t="shared" si="11"/>
        <v>23341.935831198345</v>
      </c>
      <c r="F70" s="28">
        <f t="shared" si="12"/>
        <v>23342</v>
      </c>
      <c r="G70" s="28">
        <f t="shared" si="16"/>
        <v>-2.409500000794651E-2</v>
      </c>
      <c r="K70" s="28">
        <f t="shared" si="18"/>
        <v>-2.409500000794651E-2</v>
      </c>
      <c r="P70" s="36">
        <f t="shared" si="13"/>
        <v>-2.3751947515185473E-2</v>
      </c>
      <c r="Q70" s="29">
        <f t="shared" si="14"/>
        <v>41639.149599999997</v>
      </c>
      <c r="R70" s="28">
        <f t="shared" si="15"/>
        <v>1.1768501278956119E-7</v>
      </c>
      <c r="S70" s="28">
        <v>1</v>
      </c>
      <c r="T70" s="28">
        <f t="shared" si="17"/>
        <v>1.1768501278956119E-7</v>
      </c>
    </row>
    <row r="71" spans="1:20" ht="12.95" customHeight="1" x14ac:dyDescent="0.2">
      <c r="A71" s="6" t="s">
        <v>76</v>
      </c>
      <c r="B71" s="7" t="s">
        <v>53</v>
      </c>
      <c r="C71" s="6">
        <v>56665.5334</v>
      </c>
      <c r="D71" s="6">
        <v>5.9999999999999995E-4</v>
      </c>
      <c r="E71" s="8">
        <f t="shared" si="11"/>
        <v>23362.931639387036</v>
      </c>
      <c r="F71" s="28">
        <f t="shared" si="12"/>
        <v>23363</v>
      </c>
      <c r="G71" s="28">
        <f t="shared" si="16"/>
        <v>-2.5669000002380926E-2</v>
      </c>
      <c r="K71" s="28">
        <f t="shared" si="18"/>
        <v>-2.5669000002380926E-2</v>
      </c>
      <c r="P71" s="36">
        <f t="shared" si="13"/>
        <v>-2.3725834347334773E-2</v>
      </c>
      <c r="Q71" s="29">
        <f t="shared" si="14"/>
        <v>41647.0334</v>
      </c>
      <c r="R71" s="28">
        <f t="shared" si="15"/>
        <v>3.7758927629509443E-6</v>
      </c>
      <c r="S71" s="28">
        <v>1</v>
      </c>
      <c r="T71" s="28">
        <f t="shared" si="17"/>
        <v>3.7758927629509443E-6</v>
      </c>
    </row>
    <row r="72" spans="1:20" ht="12.95" customHeight="1" x14ac:dyDescent="0.2">
      <c r="A72" s="6" t="s">
        <v>76</v>
      </c>
      <c r="B72" s="7" t="s">
        <v>53</v>
      </c>
      <c r="C72" s="6">
        <v>56667.412600000003</v>
      </c>
      <c r="D72" s="6">
        <v>5.0000000000000001E-4</v>
      </c>
      <c r="E72" s="8">
        <f t="shared" si="11"/>
        <v>23367.936246651072</v>
      </c>
      <c r="F72" s="28">
        <f t="shared" si="12"/>
        <v>23368</v>
      </c>
      <c r="G72" s="28">
        <f t="shared" si="16"/>
        <v>-2.3938999998790678E-2</v>
      </c>
      <c r="K72" s="28">
        <f t="shared" si="18"/>
        <v>-2.3938999998790678E-2</v>
      </c>
      <c r="P72" s="36">
        <f t="shared" si="13"/>
        <v>-2.3719584763729235E-2</v>
      </c>
      <c r="Q72" s="29">
        <f t="shared" si="14"/>
        <v>41648.912600000003</v>
      </c>
      <c r="R72" s="28">
        <f t="shared" si="15"/>
        <v>4.8143045377068338E-8</v>
      </c>
      <c r="S72" s="28">
        <v>1</v>
      </c>
      <c r="T72" s="28">
        <f t="shared" si="17"/>
        <v>4.8143045377068338E-8</v>
      </c>
    </row>
    <row r="73" spans="1:20" ht="12.95" customHeight="1" x14ac:dyDescent="0.2">
      <c r="A73" s="6" t="s">
        <v>76</v>
      </c>
      <c r="B73" s="7" t="s">
        <v>56</v>
      </c>
      <c r="C73" s="6">
        <v>56667.600700000003</v>
      </c>
      <c r="D73" s="6">
        <v>1.4E-3</v>
      </c>
      <c r="E73" s="8">
        <f t="shared" si="11"/>
        <v>23368.437186745985</v>
      </c>
      <c r="F73" s="28">
        <f t="shared" si="12"/>
        <v>23368.5</v>
      </c>
      <c r="G73" s="28">
        <f t="shared" si="16"/>
        <v>-2.3586000002978835E-2</v>
      </c>
      <c r="K73" s="28">
        <f t="shared" si="18"/>
        <v>-2.3586000002978835E-2</v>
      </c>
      <c r="P73" s="36">
        <f t="shared" si="13"/>
        <v>-2.3718959125004102E-2</v>
      </c>
      <c r="Q73" s="29">
        <f t="shared" si="14"/>
        <v>41649.100700000003</v>
      </c>
      <c r="R73" s="28">
        <f t="shared" si="15"/>
        <v>1.7678128129729795E-8</v>
      </c>
      <c r="S73" s="28">
        <v>1</v>
      </c>
      <c r="T73" s="28">
        <f t="shared" si="17"/>
        <v>1.7678128129729795E-8</v>
      </c>
    </row>
    <row r="74" spans="1:20" ht="12.95" customHeight="1" x14ac:dyDescent="0.2">
      <c r="A74" s="6" t="s">
        <v>76</v>
      </c>
      <c r="B74" s="7" t="s">
        <v>53</v>
      </c>
      <c r="C74" s="6">
        <v>56668.539900000003</v>
      </c>
      <c r="D74" s="6">
        <v>5.9999999999999995E-4</v>
      </c>
      <c r="E74" s="8">
        <f t="shared" si="11"/>
        <v>23370.938425114644</v>
      </c>
      <c r="F74" s="28">
        <f t="shared" si="12"/>
        <v>23371</v>
      </c>
      <c r="G74" s="28">
        <f t="shared" si="16"/>
        <v>-2.3121000005630776E-2</v>
      </c>
      <c r="K74" s="28">
        <f t="shared" si="18"/>
        <v>-2.3121000005630776E-2</v>
      </c>
      <c r="P74" s="36">
        <f t="shared" si="13"/>
        <v>-2.3715829075838746E-2</v>
      </c>
      <c r="Q74" s="29">
        <f t="shared" si="14"/>
        <v>41650.039900000003</v>
      </c>
      <c r="R74" s="28">
        <f t="shared" si="15"/>
        <v>3.538216227644775E-7</v>
      </c>
      <c r="S74" s="28">
        <v>1</v>
      </c>
      <c r="T74" s="28">
        <f t="shared" si="17"/>
        <v>3.538216227644775E-7</v>
      </c>
    </row>
    <row r="75" spans="1:20" ht="12.95" customHeight="1" x14ac:dyDescent="0.2">
      <c r="A75" s="6" t="s">
        <v>76</v>
      </c>
      <c r="B75" s="7" t="s">
        <v>53</v>
      </c>
      <c r="C75" s="6">
        <v>56674.549899999998</v>
      </c>
      <c r="D75" s="6">
        <v>2.9999999999999997E-4</v>
      </c>
      <c r="E75" s="8">
        <f t="shared" si="11"/>
        <v>23386.944007094637</v>
      </c>
      <c r="F75" s="28">
        <f t="shared" si="12"/>
        <v>23387</v>
      </c>
      <c r="G75" s="28">
        <f t="shared" si="16"/>
        <v>-2.1025000009103678E-2</v>
      </c>
      <c r="K75" s="28">
        <f t="shared" si="18"/>
        <v>-2.1025000009103678E-2</v>
      </c>
      <c r="P75" s="36">
        <f t="shared" si="13"/>
        <v>-2.3695723529212287E-2</v>
      </c>
      <c r="Q75" s="29">
        <f t="shared" si="14"/>
        <v>41656.049899999998</v>
      </c>
      <c r="R75" s="28">
        <f t="shared" si="15"/>
        <v>7.132764120861319E-6</v>
      </c>
      <c r="S75" s="28">
        <v>1</v>
      </c>
      <c r="T75" s="28">
        <f t="shared" si="17"/>
        <v>7.132764120861319E-6</v>
      </c>
    </row>
    <row r="76" spans="1:20" ht="12.95" customHeight="1" x14ac:dyDescent="0.2">
      <c r="A76" s="6" t="s">
        <v>76</v>
      </c>
      <c r="B76" s="7" t="s">
        <v>56</v>
      </c>
      <c r="C76" s="6">
        <v>56678.485399999998</v>
      </c>
      <c r="D76" s="6">
        <v>6.9999999999999999E-4</v>
      </c>
      <c r="E76" s="8">
        <f t="shared" si="11"/>
        <v>23397.42486697522</v>
      </c>
      <c r="F76" s="28">
        <f t="shared" si="12"/>
        <v>23397.5</v>
      </c>
      <c r="G76" s="28">
        <f t="shared" si="16"/>
        <v>-2.8212000011990312E-2</v>
      </c>
      <c r="K76" s="28">
        <f t="shared" si="18"/>
        <v>-2.8212000011990312E-2</v>
      </c>
      <c r="P76" s="36">
        <f t="shared" si="13"/>
        <v>-2.3682460423714552E-2</v>
      </c>
      <c r="Q76" s="29">
        <f t="shared" si="14"/>
        <v>41659.985399999998</v>
      </c>
      <c r="R76" s="28">
        <f t="shared" si="15"/>
        <v>2.0516728881757347E-5</v>
      </c>
      <c r="S76" s="28">
        <v>1</v>
      </c>
      <c r="T76" s="28">
        <f t="shared" si="17"/>
        <v>2.0516728881757347E-5</v>
      </c>
    </row>
    <row r="77" spans="1:20" ht="12.95" customHeight="1" x14ac:dyDescent="0.2">
      <c r="A77" s="6" t="s">
        <v>76</v>
      </c>
      <c r="B77" s="7" t="s">
        <v>53</v>
      </c>
      <c r="C77" s="6">
        <v>56678.680899999999</v>
      </c>
      <c r="D77" s="6">
        <v>6.9999999999999999E-4</v>
      </c>
      <c r="E77" s="8">
        <f t="shared" si="11"/>
        <v>23397.945514442294</v>
      </c>
      <c r="F77" s="28">
        <f t="shared" si="12"/>
        <v>23398</v>
      </c>
      <c r="G77" s="28">
        <f t="shared" si="16"/>
        <v>-2.0459000006667338E-2</v>
      </c>
      <c r="K77" s="28">
        <f t="shared" si="18"/>
        <v>-2.0459000006667338E-2</v>
      </c>
      <c r="P77" s="36">
        <f t="shared" si="13"/>
        <v>-2.3681827486533136E-2</v>
      </c>
      <c r="Q77" s="29">
        <f t="shared" si="14"/>
        <v>41660.180899999999</v>
      </c>
      <c r="R77" s="28">
        <f t="shared" si="15"/>
        <v>1.0386616964978126E-5</v>
      </c>
      <c r="S77" s="28">
        <v>1</v>
      </c>
      <c r="T77" s="28">
        <f t="shared" si="17"/>
        <v>1.0386616964978126E-5</v>
      </c>
    </row>
    <row r="78" spans="1:20" ht="12.95" customHeight="1" x14ac:dyDescent="0.2">
      <c r="A78" s="9" t="s">
        <v>84</v>
      </c>
      <c r="B78" s="10" t="s">
        <v>53</v>
      </c>
      <c r="C78" s="9">
        <v>56730.490299999998</v>
      </c>
      <c r="D78" s="9">
        <v>4.0000000000000002E-4</v>
      </c>
      <c r="E78" s="8">
        <f t="shared" si="11"/>
        <v>23535.922153216809</v>
      </c>
      <c r="F78" s="28">
        <f t="shared" si="12"/>
        <v>23536</v>
      </c>
      <c r="G78" s="28">
        <f t="shared" si="16"/>
        <v>-2.9231000007712282E-2</v>
      </c>
      <c r="K78" s="28">
        <f t="shared" si="18"/>
        <v>-2.9231000007712282E-2</v>
      </c>
      <c r="O78" s="28">
        <f ca="1">+C$11+C$12*F78</f>
        <v>-4.5668445886985348E-2</v>
      </c>
      <c r="P78" s="36">
        <f t="shared" si="13"/>
        <v>-2.3502408167005884E-2</v>
      </c>
      <c r="Q78" s="29">
        <f t="shared" si="14"/>
        <v>41711.990299999998</v>
      </c>
      <c r="R78" s="28">
        <f t="shared" si="15"/>
        <v>3.2816764477407924E-5</v>
      </c>
      <c r="S78" s="28">
        <v>1</v>
      </c>
      <c r="T78" s="28">
        <f t="shared" si="17"/>
        <v>3.2816764477407924E-5</v>
      </c>
    </row>
    <row r="79" spans="1:20" ht="12.95" customHeight="1" x14ac:dyDescent="0.2">
      <c r="A79" s="9" t="s">
        <v>84</v>
      </c>
      <c r="B79" s="10" t="s">
        <v>53</v>
      </c>
      <c r="C79" s="9">
        <v>56731.2428</v>
      </c>
      <c r="D79" s="9">
        <v>5.9999999999999995E-4</v>
      </c>
      <c r="E79" s="8">
        <f t="shared" si="11"/>
        <v>23537.926179912316</v>
      </c>
      <c r="F79" s="28">
        <f t="shared" si="12"/>
        <v>23538</v>
      </c>
      <c r="G79" s="28">
        <f t="shared" si="16"/>
        <v>-2.7719000005163252E-2</v>
      </c>
      <c r="K79" s="28">
        <f t="shared" si="18"/>
        <v>-2.7719000005163252E-2</v>
      </c>
      <c r="O79" s="28">
        <f ca="1">+C$11+C$12*F79</f>
        <v>-4.5656008482759219E-2</v>
      </c>
      <c r="P79" s="36">
        <f t="shared" si="13"/>
        <v>-2.3499738613529331E-2</v>
      </c>
      <c r="Q79" s="29">
        <f t="shared" si="14"/>
        <v>41712.7428</v>
      </c>
      <c r="R79" s="28">
        <f t="shared" si="15"/>
        <v>1.7802166690932616E-5</v>
      </c>
      <c r="S79" s="28">
        <v>1</v>
      </c>
      <c r="T79" s="28">
        <f t="shared" si="17"/>
        <v>1.7802166690932616E-5</v>
      </c>
    </row>
    <row r="80" spans="1:20" ht="12.95" customHeight="1" x14ac:dyDescent="0.2">
      <c r="A80" s="9" t="s">
        <v>84</v>
      </c>
      <c r="B80" s="10" t="s">
        <v>53</v>
      </c>
      <c r="C80" s="9">
        <v>56738.372900000002</v>
      </c>
      <c r="D80" s="9">
        <v>5.0000000000000001E-4</v>
      </c>
      <c r="E80" s="8">
        <f t="shared" si="11"/>
        <v>23556.91476561542</v>
      </c>
      <c r="F80" s="28">
        <f t="shared" si="12"/>
        <v>23557</v>
      </c>
      <c r="G80" s="28">
        <f t="shared" si="16"/>
        <v>-3.2005000000935979E-2</v>
      </c>
      <c r="K80" s="28">
        <f t="shared" si="18"/>
        <v>-3.2005000000935979E-2</v>
      </c>
      <c r="O80" s="28">
        <f ca="1">+C$11+C$12*F80</f>
        <v>-4.5537853142610912E-2</v>
      </c>
      <c r="P80" s="36">
        <f t="shared" si="13"/>
        <v>-2.3474279140788284E-2</v>
      </c>
      <c r="Q80" s="29">
        <f t="shared" si="14"/>
        <v>41719.872900000002</v>
      </c>
      <c r="R80" s="28">
        <f t="shared" si="15"/>
        <v>7.2773198393759025E-5</v>
      </c>
      <c r="S80" s="28">
        <v>1</v>
      </c>
      <c r="T80" s="28">
        <f t="shared" si="17"/>
        <v>7.2773198393759025E-5</v>
      </c>
    </row>
    <row r="81" spans="1:21" ht="12.95" customHeight="1" x14ac:dyDescent="0.2">
      <c r="A81" s="60" t="s">
        <v>78</v>
      </c>
      <c r="B81" s="8"/>
      <c r="C81" s="6">
        <v>57021.879699999998</v>
      </c>
      <c r="D81" s="6">
        <v>2.0000000000000001E-4</v>
      </c>
      <c r="E81" s="8">
        <f t="shared" si="11"/>
        <v>24311.938281304076</v>
      </c>
      <c r="F81" s="28">
        <f t="shared" si="12"/>
        <v>24312</v>
      </c>
      <c r="G81" s="28">
        <f t="shared" si="16"/>
        <v>-2.3175000009359792E-2</v>
      </c>
      <c r="K81" s="28">
        <f t="shared" si="18"/>
        <v>-2.3175000009359792E-2</v>
      </c>
      <c r="P81" s="36">
        <f t="shared" si="13"/>
        <v>-2.2318023858489688E-2</v>
      </c>
      <c r="Q81" s="29">
        <f t="shared" si="14"/>
        <v>42003.379699999998</v>
      </c>
      <c r="R81" s="28">
        <f t="shared" si="15"/>
        <v>7.344081231601384E-7</v>
      </c>
      <c r="S81" s="28">
        <v>1</v>
      </c>
      <c r="T81" s="28">
        <f t="shared" si="17"/>
        <v>7.344081231601384E-7</v>
      </c>
    </row>
    <row r="82" spans="1:21" ht="12.95" customHeight="1" x14ac:dyDescent="0.2">
      <c r="A82" s="6" t="s">
        <v>77</v>
      </c>
      <c r="B82" s="7" t="s">
        <v>56</v>
      </c>
      <c r="C82" s="6">
        <v>57123.452700000002</v>
      </c>
      <c r="D82" s="6">
        <v>2.0000000000000001E-4</v>
      </c>
      <c r="E82" s="8">
        <f t="shared" si="11"/>
        <v>24582.44326939977</v>
      </c>
      <c r="F82" s="28">
        <f t="shared" si="12"/>
        <v>24582.5</v>
      </c>
      <c r="G82" s="28">
        <f t="shared" si="16"/>
        <v>-2.1302000001014676E-2</v>
      </c>
      <c r="K82" s="28">
        <f t="shared" si="18"/>
        <v>-2.1302000001014676E-2</v>
      </c>
      <c r="P82" s="36">
        <f t="shared" si="13"/>
        <v>-2.183513318703556E-2</v>
      </c>
      <c r="Q82" s="29">
        <f t="shared" si="14"/>
        <v>42104.952700000002</v>
      </c>
      <c r="R82" s="28">
        <f t="shared" si="15"/>
        <v>2.8423099403677886E-7</v>
      </c>
      <c r="S82" s="28">
        <v>1</v>
      </c>
      <c r="T82" s="28">
        <f t="shared" si="17"/>
        <v>2.8423099403677886E-7</v>
      </c>
    </row>
    <row r="83" spans="1:21" ht="12.95" customHeight="1" x14ac:dyDescent="0.2">
      <c r="A83" s="6" t="s">
        <v>77</v>
      </c>
      <c r="B83" s="7" t="s">
        <v>56</v>
      </c>
      <c r="C83" s="6">
        <v>57326.595399999998</v>
      </c>
      <c r="D83" s="6">
        <v>1E-4</v>
      </c>
      <c r="E83" s="8">
        <f t="shared" si="11"/>
        <v>25123.444457168403</v>
      </c>
      <c r="F83" s="28">
        <f t="shared" si="12"/>
        <v>25123.5</v>
      </c>
      <c r="G83" s="28">
        <f t="shared" si="16"/>
        <v>-2.0856000010098796E-2</v>
      </c>
      <c r="K83" s="28">
        <f t="shared" si="18"/>
        <v>-2.0856000010098796E-2</v>
      </c>
      <c r="P83" s="36">
        <f t="shared" si="13"/>
        <v>-2.0760735599157087E-2</v>
      </c>
      <c r="Q83" s="29">
        <f t="shared" si="14"/>
        <v>42308.095399999998</v>
      </c>
      <c r="R83" s="28">
        <f t="shared" si="15"/>
        <v>9.0753079920707864E-9</v>
      </c>
      <c r="S83" s="28">
        <v>1</v>
      </c>
      <c r="T83" s="28">
        <f t="shared" si="17"/>
        <v>9.0753079920707864E-9</v>
      </c>
    </row>
    <row r="84" spans="1:21" ht="12.95" customHeight="1" x14ac:dyDescent="0.2">
      <c r="A84" s="60" t="s">
        <v>79</v>
      </c>
      <c r="B84" s="8"/>
      <c r="C84" s="6">
        <v>57344.995893967505</v>
      </c>
      <c r="D84" s="6">
        <v>2E-3</v>
      </c>
      <c r="E84" s="8">
        <f t="shared" si="11"/>
        <v>25172.44788722989</v>
      </c>
      <c r="F84" s="28">
        <f t="shared" si="12"/>
        <v>25172.5</v>
      </c>
      <c r="G84" s="28">
        <f t="shared" si="16"/>
        <v>-1.9568032497772947E-2</v>
      </c>
      <c r="K84" s="28">
        <f t="shared" si="18"/>
        <v>-1.9568032497772947E-2</v>
      </c>
      <c r="P84" s="36">
        <f t="shared" si="13"/>
        <v>-2.0656271685367711E-2</v>
      </c>
      <c r="Q84" s="29">
        <f t="shared" si="14"/>
        <v>42326.495893967505</v>
      </c>
      <c r="R84" s="28">
        <f t="shared" si="15"/>
        <v>1.1842645294169117E-6</v>
      </c>
      <c r="S84" s="28">
        <v>0.2</v>
      </c>
      <c r="T84" s="28">
        <f t="shared" si="17"/>
        <v>2.3685290588338237E-7</v>
      </c>
    </row>
    <row r="85" spans="1:21" ht="12.95" customHeight="1" x14ac:dyDescent="0.2">
      <c r="A85" s="60" t="s">
        <v>80</v>
      </c>
      <c r="B85" s="8"/>
      <c r="C85" s="6">
        <v>57437.743999999999</v>
      </c>
      <c r="D85" s="6">
        <v>2.0000000000000001E-4</v>
      </c>
      <c r="E85" s="8">
        <f t="shared" ref="E85:E95" si="19">+(C85-C$7)/C$8</f>
        <v>25419.450784832763</v>
      </c>
      <c r="F85" s="28">
        <f t="shared" ref="F85:F95" si="20">ROUND(2*E85,0)/2</f>
        <v>25419.5</v>
      </c>
      <c r="G85" s="28">
        <f t="shared" si="16"/>
        <v>-1.8480000006093178E-2</v>
      </c>
      <c r="K85" s="28">
        <f t="shared" si="18"/>
        <v>-1.8480000006093178E-2</v>
      </c>
      <c r="P85" s="36">
        <f t="shared" ref="P85:P95" si="21">+D$11+D$12*F85+D$13*F85^2</f>
        <v>-2.0111599987068407E-2</v>
      </c>
      <c r="Q85" s="29">
        <f t="shared" ref="Q85:Q95" si="22">+C85-15018.5</f>
        <v>42419.243999999999</v>
      </c>
      <c r="R85" s="28">
        <f t="shared" si="15"/>
        <v>2.6621184979183679E-6</v>
      </c>
      <c r="S85" s="28">
        <v>1</v>
      </c>
      <c r="T85" s="28">
        <f t="shared" si="17"/>
        <v>2.6621184979183679E-6</v>
      </c>
    </row>
    <row r="86" spans="1:21" ht="12.95" customHeight="1" x14ac:dyDescent="0.2">
      <c r="A86" s="65" t="s">
        <v>81</v>
      </c>
      <c r="B86" s="66" t="s">
        <v>56</v>
      </c>
      <c r="C86" s="67">
        <v>57470.412239999998</v>
      </c>
      <c r="D86" s="67">
        <v>1.4E-3</v>
      </c>
      <c r="E86" s="8">
        <f t="shared" si="19"/>
        <v>25506.451482580262</v>
      </c>
      <c r="F86" s="28">
        <f t="shared" si="20"/>
        <v>25506.5</v>
      </c>
      <c r="G86" s="28">
        <f t="shared" si="16"/>
        <v>-1.8218000004708301E-2</v>
      </c>
      <c r="K86" s="28">
        <f t="shared" si="18"/>
        <v>-1.8218000004708301E-2</v>
      </c>
      <c r="P86" s="36">
        <f t="shared" si="21"/>
        <v>-1.991256295780186E-2</v>
      </c>
      <c r="Q86" s="29">
        <f t="shared" si="22"/>
        <v>42451.912239999998</v>
      </c>
      <c r="R86" s="28">
        <f t="shared" si="15"/>
        <v>2.8715436019971636E-6</v>
      </c>
      <c r="S86" s="28">
        <v>1</v>
      </c>
      <c r="T86" s="28">
        <f t="shared" si="17"/>
        <v>2.8715436019971636E-6</v>
      </c>
    </row>
    <row r="87" spans="1:21" ht="12.95" customHeight="1" x14ac:dyDescent="0.2">
      <c r="A87" s="6" t="s">
        <v>77</v>
      </c>
      <c r="B87" s="7" t="s">
        <v>53</v>
      </c>
      <c r="C87" s="6">
        <v>57480.361400000002</v>
      </c>
      <c r="D87" s="6">
        <v>1E-4</v>
      </c>
      <c r="E87" s="8">
        <f t="shared" si="19"/>
        <v>25532.947671600603</v>
      </c>
      <c r="F87" s="28">
        <f t="shared" si="20"/>
        <v>25533</v>
      </c>
      <c r="G87" s="28">
        <f t="shared" si="16"/>
        <v>-1.9649000001663808E-2</v>
      </c>
      <c r="K87" s="28">
        <f t="shared" si="18"/>
        <v>-1.9649000001663808E-2</v>
      </c>
      <c r="P87" s="36">
        <f t="shared" si="21"/>
        <v>-1.9851192602959089E-2</v>
      </c>
      <c r="Q87" s="29">
        <f t="shared" si="22"/>
        <v>42461.861400000002</v>
      </c>
      <c r="R87" s="28">
        <f t="shared" si="15"/>
        <v>4.0881848018552575E-8</v>
      </c>
      <c r="S87" s="28">
        <v>1</v>
      </c>
      <c r="T87" s="28">
        <f t="shared" si="17"/>
        <v>4.0881848018552575E-8</v>
      </c>
    </row>
    <row r="88" spans="1:21" ht="12.95" customHeight="1" x14ac:dyDescent="0.2">
      <c r="A88" s="6" t="s">
        <v>77</v>
      </c>
      <c r="B88" s="7" t="s">
        <v>53</v>
      </c>
      <c r="C88" s="6">
        <v>57484.491000000002</v>
      </c>
      <c r="D88" s="6">
        <v>2.0000000000000001E-4</v>
      </c>
      <c r="E88" s="8">
        <f t="shared" si="19"/>
        <v>25543.945450526498</v>
      </c>
      <c r="F88" s="28">
        <f t="shared" si="20"/>
        <v>25544</v>
      </c>
      <c r="G88" s="28">
        <f t="shared" si="16"/>
        <v>-2.0483000007516239E-2</v>
      </c>
      <c r="K88" s="28">
        <f t="shared" si="18"/>
        <v>-2.0483000007516239E-2</v>
      </c>
      <c r="P88" s="36">
        <f t="shared" si="21"/>
        <v>-1.9825616061357798E-2</v>
      </c>
      <c r="Q88" s="29">
        <f t="shared" si="22"/>
        <v>42465.991000000002</v>
      </c>
      <c r="R88" s="28">
        <f t="shared" si="15"/>
        <v>4.3215365266684376E-7</v>
      </c>
      <c r="S88" s="28">
        <v>1</v>
      </c>
      <c r="T88" s="28">
        <f t="shared" si="17"/>
        <v>4.3215365266684376E-7</v>
      </c>
    </row>
    <row r="89" spans="1:21" ht="12.95" customHeight="1" x14ac:dyDescent="0.2">
      <c r="A89" s="68" t="s">
        <v>82</v>
      </c>
      <c r="B89" s="69" t="s">
        <v>56</v>
      </c>
      <c r="C89" s="70">
        <v>57526.358099999998</v>
      </c>
      <c r="D89" s="70">
        <v>3.5E-4</v>
      </c>
      <c r="E89" s="8">
        <f t="shared" si="19"/>
        <v>25655.444169547296</v>
      </c>
      <c r="F89" s="28">
        <f t="shared" si="20"/>
        <v>25655.5</v>
      </c>
      <c r="G89" s="28">
        <f t="shared" si="16"/>
        <v>-2.096400001028087E-2</v>
      </c>
      <c r="K89" s="28">
        <f t="shared" si="18"/>
        <v>-2.096400001028087E-2</v>
      </c>
      <c r="P89" s="36">
        <f t="shared" si="21"/>
        <v>-1.9562983688014957E-2</v>
      </c>
      <c r="Q89" s="29">
        <f t="shared" si="22"/>
        <v>42507.858099999998</v>
      </c>
      <c r="R89" s="28">
        <f t="shared" si="15"/>
        <v>1.9628467352555057E-6</v>
      </c>
      <c r="S89" s="28">
        <v>1</v>
      </c>
      <c r="T89" s="28">
        <f t="shared" si="17"/>
        <v>1.9628467352555057E-6</v>
      </c>
    </row>
    <row r="90" spans="1:21" ht="12.95" customHeight="1" x14ac:dyDescent="0.2">
      <c r="A90" s="71" t="s">
        <v>85</v>
      </c>
      <c r="B90" s="72" t="s">
        <v>53</v>
      </c>
      <c r="C90" s="73">
        <v>58150.507109999999</v>
      </c>
      <c r="D90" s="73">
        <v>2.5000000000000001E-4</v>
      </c>
      <c r="E90" s="8">
        <f t="shared" si="19"/>
        <v>27317.651847965597</v>
      </c>
      <c r="F90" s="28">
        <f t="shared" si="20"/>
        <v>27317.5</v>
      </c>
      <c r="O90" s="28">
        <f ca="1">+C$11+C$12*F90</f>
        <v>-2.2152423846415553E-2</v>
      </c>
      <c r="P90" s="36">
        <f t="shared" si="21"/>
        <v>-1.4918989066949884E-2</v>
      </c>
      <c r="Q90" s="29">
        <f t="shared" si="22"/>
        <v>43132.007109999999</v>
      </c>
      <c r="R90" s="28">
        <f>+(P90-U90)^2</f>
        <v>5.1749303949020367E-3</v>
      </c>
      <c r="S90" s="28">
        <v>1</v>
      </c>
      <c r="T90" s="28">
        <f t="shared" si="17"/>
        <v>5.1749303949020367E-3</v>
      </c>
      <c r="U90" s="28">
        <f>+C90-(C$7+F90*C$8)</f>
        <v>5.701799999224022E-2</v>
      </c>
    </row>
    <row r="91" spans="1:21" ht="12.95" customHeight="1" x14ac:dyDescent="0.2">
      <c r="A91" s="71" t="s">
        <v>258</v>
      </c>
      <c r="B91" s="72" t="s">
        <v>53</v>
      </c>
      <c r="C91" s="73">
        <v>58198.685231000003</v>
      </c>
      <c r="D91" s="73">
        <v>1.8200000000000001E-4</v>
      </c>
      <c r="E91" s="8">
        <f t="shared" si="19"/>
        <v>27445.95781557095</v>
      </c>
      <c r="F91" s="28">
        <f t="shared" si="20"/>
        <v>27446</v>
      </c>
      <c r="G91" s="28">
        <f>+C91-(C$7+F91*C$8)</f>
        <v>-1.5840000000025611E-2</v>
      </c>
      <c r="K91" s="28">
        <f>G91</f>
        <v>-1.5840000000025611E-2</v>
      </c>
      <c r="O91" s="28">
        <f ca="1">+C$11+C$12*F91</f>
        <v>-2.1353320624886207E-2</v>
      </c>
      <c r="P91" s="36">
        <f t="shared" si="21"/>
        <v>-1.4503008895721953E-2</v>
      </c>
      <c r="Q91" s="29">
        <f t="shared" si="22"/>
        <v>43180.185231000003</v>
      </c>
      <c r="R91" s="28">
        <f>+(P91-G91)^2</f>
        <v>1.7875452129871167E-6</v>
      </c>
      <c r="S91" s="28">
        <v>1</v>
      </c>
      <c r="T91" s="28">
        <f t="shared" si="17"/>
        <v>1.7875452129871167E-6</v>
      </c>
    </row>
    <row r="92" spans="1:21" ht="12.95" customHeight="1" x14ac:dyDescent="0.2">
      <c r="A92" s="71" t="s">
        <v>85</v>
      </c>
      <c r="B92" s="72" t="s">
        <v>53</v>
      </c>
      <c r="C92" s="73">
        <v>58228.345070000003</v>
      </c>
      <c r="D92" s="73">
        <v>2.9999999999999997E-4</v>
      </c>
      <c r="E92" s="8">
        <f t="shared" si="19"/>
        <v>27524.946664926731</v>
      </c>
      <c r="F92" s="28">
        <f t="shared" si="20"/>
        <v>27525</v>
      </c>
      <c r="G92" s="28">
        <f>+C92-(C$7+F92*C$8)</f>
        <v>-2.0026999998663086E-2</v>
      </c>
      <c r="K92" s="28">
        <f>G92</f>
        <v>-2.0026999998663086E-2</v>
      </c>
      <c r="O92" s="28">
        <f ca="1">+C$11+C$12*F92</f>
        <v>-2.0862043157953758E-2</v>
      </c>
      <c r="P92" s="36">
        <f t="shared" si="21"/>
        <v>-1.4243214522065589E-2</v>
      </c>
      <c r="Q92" s="29">
        <f t="shared" si="22"/>
        <v>43209.845070000003</v>
      </c>
      <c r="R92" s="28">
        <f>+(P92-G92)^2</f>
        <v>3.345217443930014E-5</v>
      </c>
      <c r="S92" s="28">
        <v>1</v>
      </c>
      <c r="T92" s="28">
        <f t="shared" si="17"/>
        <v>3.345217443930014E-5</v>
      </c>
    </row>
    <row r="93" spans="1:21" ht="12.95" customHeight="1" x14ac:dyDescent="0.2">
      <c r="A93" s="60" t="s">
        <v>83</v>
      </c>
      <c r="B93" s="8"/>
      <c r="C93" s="6">
        <v>58535.683199999999</v>
      </c>
      <c r="D93" s="6">
        <v>5.9999999999999995E-4</v>
      </c>
      <c r="E93" s="8">
        <f t="shared" si="19"/>
        <v>28343.436787272218</v>
      </c>
      <c r="F93" s="28">
        <f t="shared" si="20"/>
        <v>28343.5</v>
      </c>
      <c r="G93" s="28">
        <f>+C93-(C$7+F93*C$8)</f>
        <v>-2.3736000002827495E-2</v>
      </c>
      <c r="K93" s="28">
        <f>G93</f>
        <v>-2.3736000002827495E-2</v>
      </c>
      <c r="P93" s="36">
        <f t="shared" si="21"/>
        <v>-1.1369802639232873E-2</v>
      </c>
      <c r="Q93" s="29">
        <f t="shared" si="22"/>
        <v>43517.183199999999</v>
      </c>
      <c r="R93" s="28">
        <f>+(P93-G93)^2</f>
        <v>1.5292283723537459E-4</v>
      </c>
      <c r="S93" s="28">
        <v>1</v>
      </c>
      <c r="T93" s="28">
        <f t="shared" si="17"/>
        <v>1.5292283723537459E-4</v>
      </c>
    </row>
    <row r="94" spans="1:21" ht="12.95" customHeight="1" x14ac:dyDescent="0.2">
      <c r="A94" s="60" t="s">
        <v>255</v>
      </c>
      <c r="C94" s="25">
        <v>59564.904000000002</v>
      </c>
      <c r="D94" s="6">
        <v>2E-3</v>
      </c>
      <c r="E94" s="8">
        <f t="shared" si="19"/>
        <v>31084.414805562799</v>
      </c>
      <c r="F94" s="28">
        <f t="shared" si="20"/>
        <v>31084.5</v>
      </c>
      <c r="G94" s="28">
        <f>+C94-(C$7+F94*C$8)</f>
        <v>-3.19900000031339E-2</v>
      </c>
      <c r="K94" s="28">
        <f>G94</f>
        <v>-3.19900000031339E-2</v>
      </c>
      <c r="O94" s="28">
        <f ca="1">+C$11+C$12*F94</f>
        <v>1.2734270135147663E-3</v>
      </c>
      <c r="P94" s="36">
        <f t="shared" si="21"/>
        <v>6.665362814422815E-4</v>
      </c>
      <c r="Q94" s="29">
        <f t="shared" si="22"/>
        <v>44546.404000000002</v>
      </c>
      <c r="R94" s="28">
        <f>+(P94-G94)^2</f>
        <v>1.0664493621058407E-3</v>
      </c>
      <c r="S94" s="28">
        <v>1</v>
      </c>
      <c r="T94" s="28">
        <f t="shared" si="17"/>
        <v>1.0664493621058407E-3</v>
      </c>
    </row>
    <row r="95" spans="1:21" ht="12.95" customHeight="1" x14ac:dyDescent="0.2">
      <c r="A95" s="27" t="s">
        <v>259</v>
      </c>
      <c r="B95" s="74" t="s">
        <v>56</v>
      </c>
      <c r="C95" s="75">
        <v>59577.926899999999</v>
      </c>
      <c r="D95" s="76">
        <v>2.0000000000000001E-4</v>
      </c>
      <c r="E95" s="8">
        <f t="shared" si="19"/>
        <v>31119.096851081493</v>
      </c>
      <c r="F95" s="28">
        <f t="shared" si="20"/>
        <v>31119</v>
      </c>
      <c r="G95" s="28">
        <f>+C95-(C$7+F95*C$8)</f>
        <v>3.6366999993333593E-2</v>
      </c>
      <c r="O95" s="28">
        <f ca="1">+C$11+C$12*F95</f>
        <v>1.4879722364156411E-3</v>
      </c>
      <c r="P95" s="36">
        <f t="shared" si="21"/>
        <v>8.4172366556964362E-4</v>
      </c>
      <c r="Q95" s="29">
        <f t="shared" si="22"/>
        <v>44559.426899999999</v>
      </c>
      <c r="R95" s="28">
        <f>+(P95-G95)^2</f>
        <v>1.2620452581639857E-3</v>
      </c>
      <c r="S95" s="28">
        <v>1</v>
      </c>
      <c r="T95" s="28">
        <f t="shared" si="17"/>
        <v>1.2620452581639857E-3</v>
      </c>
      <c r="U95" s="28">
        <f>G95</f>
        <v>3.6366999993333593E-2</v>
      </c>
    </row>
  </sheetData>
  <sheetProtection selectLockedCells="1" selectUnlockedCells="1"/>
  <sortState xmlns:xlrd2="http://schemas.microsoft.com/office/spreadsheetml/2017/richdata2" ref="A21:U95">
    <sortCondition ref="C21:C95"/>
  </sortState>
  <phoneticPr fontId="19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7EA3-3646-46B0-BB33-36EAC16BD60B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A45" sqref="A45"/>
    </sheetView>
  </sheetViews>
  <sheetFormatPr defaultRowHeight="12.75" x14ac:dyDescent="0.2"/>
  <cols>
    <col min="1" max="1" width="19.7109375" style="11" customWidth="1"/>
    <col min="2" max="2" width="4.42578125" customWidth="1"/>
    <col min="3" max="3" width="12.7109375" style="11" customWidth="1"/>
    <col min="4" max="4" width="5.42578125" customWidth="1"/>
    <col min="5" max="5" width="14.85546875" customWidth="1"/>
    <col min="7" max="7" width="12" customWidth="1"/>
    <col min="8" max="8" width="14.140625" style="1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2" t="s">
        <v>86</v>
      </c>
      <c r="I1" s="13" t="s">
        <v>87</v>
      </c>
      <c r="J1" s="14" t="s">
        <v>42</v>
      </c>
    </row>
    <row r="2" spans="1:16" x14ac:dyDescent="0.2">
      <c r="I2" s="15" t="s">
        <v>88</v>
      </c>
      <c r="J2" s="16" t="s">
        <v>41</v>
      </c>
    </row>
    <row r="3" spans="1:16" x14ac:dyDescent="0.2">
      <c r="A3" s="17" t="s">
        <v>89</v>
      </c>
      <c r="I3" s="15" t="s">
        <v>90</v>
      </c>
      <c r="J3" s="16" t="s">
        <v>39</v>
      </c>
    </row>
    <row r="4" spans="1:16" x14ac:dyDescent="0.2">
      <c r="I4" s="15" t="s">
        <v>91</v>
      </c>
      <c r="J4" s="16" t="s">
        <v>39</v>
      </c>
    </row>
    <row r="5" spans="1:16" x14ac:dyDescent="0.2">
      <c r="I5" s="18" t="s">
        <v>92</v>
      </c>
      <c r="J5" s="19" t="s">
        <v>40</v>
      </c>
    </row>
    <row r="11" spans="1:16" ht="12.75" customHeight="1" x14ac:dyDescent="0.2">
      <c r="A11" s="11" t="str">
        <f t="shared" ref="A11:A46" si="0">P11</f>
        <v>IBVS 5414 </v>
      </c>
      <c r="B11" s="5" t="str">
        <f t="shared" ref="B11:B46" si="1">IF(H11=INT(H11),"I","II")</f>
        <v>I</v>
      </c>
      <c r="C11" s="11">
        <f t="shared" ref="C11:C46" si="2">1*G11</f>
        <v>52368.398300000001</v>
      </c>
      <c r="D11" t="str">
        <f t="shared" ref="D11:D46" si="3">VLOOKUP(F11,I$1:J$5,2,FALSE)</f>
        <v>vis</v>
      </c>
      <c r="E11">
        <f>VLOOKUP(C11,'Active 1'!C$21:E$970,3,FALSE)</f>
        <v>11918.980204743606</v>
      </c>
      <c r="F11" s="5" t="s">
        <v>92</v>
      </c>
      <c r="G11" t="str">
        <f t="shared" ref="G11:G46" si="4">MID(I11,3,LEN(I11)-3)</f>
        <v>52368.3983</v>
      </c>
      <c r="H11" s="11">
        <f t="shared" ref="H11:H46" si="5">1*K11</f>
        <v>-351</v>
      </c>
      <c r="I11" s="20" t="s">
        <v>93</v>
      </c>
      <c r="J11" s="21" t="s">
        <v>94</v>
      </c>
      <c r="K11" s="20">
        <v>-351</v>
      </c>
      <c r="L11" s="20" t="s">
        <v>95</v>
      </c>
      <c r="M11" s="21" t="s">
        <v>96</v>
      </c>
      <c r="N11" s="21" t="s">
        <v>97</v>
      </c>
      <c r="O11" s="22" t="s">
        <v>98</v>
      </c>
      <c r="P11" s="23" t="s">
        <v>99</v>
      </c>
    </row>
    <row r="12" spans="1:16" ht="12.75" customHeight="1" x14ac:dyDescent="0.2">
      <c r="A12" s="11" t="str">
        <f t="shared" si="0"/>
        <v>IBVS 5414 </v>
      </c>
      <c r="B12" s="5" t="str">
        <f t="shared" si="1"/>
        <v>II</v>
      </c>
      <c r="C12" s="11">
        <f t="shared" si="2"/>
        <v>52369.338000000003</v>
      </c>
      <c r="D12" t="str">
        <f t="shared" si="3"/>
        <v>vis</v>
      </c>
      <c r="E12">
        <f>VLOOKUP(C12,'Active 1'!C$21:E$970,3,FALSE)</f>
        <v>11921.482774691469</v>
      </c>
      <c r="F12" s="5" t="s">
        <v>92</v>
      </c>
      <c r="G12" t="str">
        <f t="shared" si="4"/>
        <v>52369.338</v>
      </c>
      <c r="H12" s="11">
        <f t="shared" si="5"/>
        <v>-348.5</v>
      </c>
      <c r="I12" s="20" t="s">
        <v>100</v>
      </c>
      <c r="J12" s="21" t="s">
        <v>101</v>
      </c>
      <c r="K12" s="20">
        <v>-348.5</v>
      </c>
      <c r="L12" s="20" t="s">
        <v>102</v>
      </c>
      <c r="M12" s="21" t="s">
        <v>96</v>
      </c>
      <c r="N12" s="21" t="s">
        <v>97</v>
      </c>
      <c r="O12" s="22" t="s">
        <v>98</v>
      </c>
      <c r="P12" s="23" t="s">
        <v>99</v>
      </c>
    </row>
    <row r="13" spans="1:16" ht="12.75" customHeight="1" x14ac:dyDescent="0.2">
      <c r="A13" s="11" t="str">
        <f t="shared" si="0"/>
        <v>IBVS 5414 </v>
      </c>
      <c r="B13" s="5" t="str">
        <f t="shared" si="1"/>
        <v>I</v>
      </c>
      <c r="C13" s="11">
        <f t="shared" si="2"/>
        <v>52369.527600000001</v>
      </c>
      <c r="D13" t="str">
        <f t="shared" si="3"/>
        <v>vis</v>
      </c>
      <c r="E13">
        <f>VLOOKUP(C13,'Active 1'!C$21:E$970,3,FALSE)</f>
        <v>11921.987709523977</v>
      </c>
      <c r="F13" s="5" t="s">
        <v>92</v>
      </c>
      <c r="G13" t="str">
        <f t="shared" si="4"/>
        <v>52369.5276</v>
      </c>
      <c r="H13" s="11">
        <f t="shared" si="5"/>
        <v>-348</v>
      </c>
      <c r="I13" s="20" t="s">
        <v>103</v>
      </c>
      <c r="J13" s="21" t="s">
        <v>104</v>
      </c>
      <c r="K13" s="20">
        <v>-348</v>
      </c>
      <c r="L13" s="20" t="s">
        <v>105</v>
      </c>
      <c r="M13" s="21" t="s">
        <v>96</v>
      </c>
      <c r="N13" s="21" t="s">
        <v>97</v>
      </c>
      <c r="O13" s="22" t="s">
        <v>98</v>
      </c>
      <c r="P13" s="23" t="s">
        <v>99</v>
      </c>
    </row>
    <row r="14" spans="1:16" ht="12.75" customHeight="1" x14ac:dyDescent="0.2">
      <c r="A14" s="11" t="str">
        <f t="shared" si="0"/>
        <v>IBVS 5414 </v>
      </c>
      <c r="B14" s="5" t="str">
        <f t="shared" si="1"/>
        <v>I</v>
      </c>
      <c r="C14" s="11">
        <f t="shared" si="2"/>
        <v>52374.407399999996</v>
      </c>
      <c r="D14" t="str">
        <f t="shared" si="3"/>
        <v>vis</v>
      </c>
      <c r="E14">
        <f>VLOOKUP(C14,'Active 1'!C$21:E$970,3,FALSE)</f>
        <v>11934.983389881039</v>
      </c>
      <c r="F14" s="5" t="s">
        <v>92</v>
      </c>
      <c r="G14" t="str">
        <f t="shared" si="4"/>
        <v>52374.4074</v>
      </c>
      <c r="H14" s="11">
        <f t="shared" si="5"/>
        <v>-335</v>
      </c>
      <c r="I14" s="20" t="s">
        <v>106</v>
      </c>
      <c r="J14" s="21" t="s">
        <v>107</v>
      </c>
      <c r="K14" s="20">
        <v>-335</v>
      </c>
      <c r="L14" s="20" t="s">
        <v>108</v>
      </c>
      <c r="M14" s="21" t="s">
        <v>96</v>
      </c>
      <c r="N14" s="21" t="s">
        <v>97</v>
      </c>
      <c r="O14" s="22" t="s">
        <v>98</v>
      </c>
      <c r="P14" s="23" t="s">
        <v>99</v>
      </c>
    </row>
    <row r="15" spans="1:16" ht="12.75" customHeight="1" x14ac:dyDescent="0.2">
      <c r="A15" s="11" t="str">
        <f t="shared" si="0"/>
        <v>IBVS 5414 </v>
      </c>
      <c r="B15" s="5" t="str">
        <f t="shared" si="1"/>
        <v>II</v>
      </c>
      <c r="C15" s="11">
        <f t="shared" si="2"/>
        <v>52374.591500000002</v>
      </c>
      <c r="D15" t="str">
        <f t="shared" si="3"/>
        <v>vis</v>
      </c>
      <c r="E15">
        <f>VLOOKUP(C15,'Active 1'!C$21:E$970,3,FALSE)</f>
        <v>11935.473677342374</v>
      </c>
      <c r="F15" s="5" t="s">
        <v>92</v>
      </c>
      <c r="G15" t="str">
        <f t="shared" si="4"/>
        <v>52374.5915</v>
      </c>
      <c r="H15" s="11">
        <f t="shared" si="5"/>
        <v>-334.5</v>
      </c>
      <c r="I15" s="20" t="s">
        <v>109</v>
      </c>
      <c r="J15" s="21" t="s">
        <v>110</v>
      </c>
      <c r="K15" s="20">
        <v>-334.5</v>
      </c>
      <c r="L15" s="20" t="s">
        <v>111</v>
      </c>
      <c r="M15" s="21" t="s">
        <v>96</v>
      </c>
      <c r="N15" s="21" t="s">
        <v>97</v>
      </c>
      <c r="O15" s="22" t="s">
        <v>98</v>
      </c>
      <c r="P15" s="23" t="s">
        <v>99</v>
      </c>
    </row>
    <row r="16" spans="1:16" ht="12.75" customHeight="1" x14ac:dyDescent="0.2">
      <c r="A16" s="11" t="str">
        <f t="shared" si="0"/>
        <v>IBVS 5414 </v>
      </c>
      <c r="B16" s="5" t="str">
        <f t="shared" si="1"/>
        <v>II</v>
      </c>
      <c r="C16" s="11">
        <f t="shared" si="2"/>
        <v>52673.488100000002</v>
      </c>
      <c r="D16" t="str">
        <f t="shared" si="3"/>
        <v>vis</v>
      </c>
      <c r="E16">
        <f>VLOOKUP(C16,'Active 1'!C$21:E$970,3,FALSE)</f>
        <v>12731.482668165128</v>
      </c>
      <c r="F16" s="5" t="s">
        <v>92</v>
      </c>
      <c r="G16" t="str">
        <f t="shared" si="4"/>
        <v>52673.4881</v>
      </c>
      <c r="H16" s="11">
        <f t="shared" si="5"/>
        <v>461.5</v>
      </c>
      <c r="I16" s="20" t="s">
        <v>112</v>
      </c>
      <c r="J16" s="21" t="s">
        <v>113</v>
      </c>
      <c r="K16" s="20">
        <v>461.5</v>
      </c>
      <c r="L16" s="20" t="s">
        <v>114</v>
      </c>
      <c r="M16" s="21" t="s">
        <v>96</v>
      </c>
      <c r="N16" s="21" t="s">
        <v>97</v>
      </c>
      <c r="O16" s="22" t="s">
        <v>98</v>
      </c>
      <c r="P16" s="23" t="s">
        <v>99</v>
      </c>
    </row>
    <row r="17" spans="1:16" ht="12.75" customHeight="1" x14ac:dyDescent="0.2">
      <c r="A17" s="11" t="str">
        <f t="shared" si="0"/>
        <v>IBVS 5414 </v>
      </c>
      <c r="B17" s="5" t="str">
        <f t="shared" si="1"/>
        <v>II</v>
      </c>
      <c r="C17" s="11">
        <f t="shared" si="2"/>
        <v>52682.495799999997</v>
      </c>
      <c r="D17" t="str">
        <f t="shared" si="3"/>
        <v>vis</v>
      </c>
      <c r="E17">
        <f>VLOOKUP(C17,'Active 1'!C$21:E$970,3,FALSE)</f>
        <v>12755.471600078807</v>
      </c>
      <c r="F17" s="5" t="s">
        <v>92</v>
      </c>
      <c r="G17" t="str">
        <f t="shared" si="4"/>
        <v>52682.4958</v>
      </c>
      <c r="H17" s="11">
        <f t="shared" si="5"/>
        <v>485.5</v>
      </c>
      <c r="I17" s="20" t="s">
        <v>115</v>
      </c>
      <c r="J17" s="21" t="s">
        <v>116</v>
      </c>
      <c r="K17" s="20">
        <v>485.5</v>
      </c>
      <c r="L17" s="20" t="s">
        <v>111</v>
      </c>
      <c r="M17" s="21" t="s">
        <v>96</v>
      </c>
      <c r="N17" s="21" t="s">
        <v>97</v>
      </c>
      <c r="O17" s="22" t="s">
        <v>98</v>
      </c>
      <c r="P17" s="23" t="s">
        <v>99</v>
      </c>
    </row>
    <row r="18" spans="1:16" ht="12.75" customHeight="1" x14ac:dyDescent="0.2">
      <c r="A18" s="11" t="str">
        <f t="shared" si="0"/>
        <v>IBVS 5414 </v>
      </c>
      <c r="B18" s="5" t="str">
        <f t="shared" si="1"/>
        <v>I</v>
      </c>
      <c r="C18" s="11">
        <f t="shared" si="2"/>
        <v>52683.436399999999</v>
      </c>
      <c r="D18" t="str">
        <f t="shared" si="3"/>
        <v>vis</v>
      </c>
      <c r="E18">
        <f>VLOOKUP(C18,'Active 1'!C$21:E$970,3,FALSE)</f>
        <v>12757.976566869227</v>
      </c>
      <c r="F18" s="5" t="s">
        <v>92</v>
      </c>
      <c r="G18" t="str">
        <f t="shared" si="4"/>
        <v>52683.4364</v>
      </c>
      <c r="H18" s="11">
        <f t="shared" si="5"/>
        <v>488</v>
      </c>
      <c r="I18" s="20" t="s">
        <v>117</v>
      </c>
      <c r="J18" s="21" t="s">
        <v>118</v>
      </c>
      <c r="K18" s="20">
        <v>488</v>
      </c>
      <c r="L18" s="20" t="s">
        <v>119</v>
      </c>
      <c r="M18" s="21" t="s">
        <v>96</v>
      </c>
      <c r="N18" s="21" t="s">
        <v>97</v>
      </c>
      <c r="O18" s="22" t="s">
        <v>98</v>
      </c>
      <c r="P18" s="23" t="s">
        <v>99</v>
      </c>
    </row>
    <row r="19" spans="1:16" ht="12.75" customHeight="1" x14ac:dyDescent="0.2">
      <c r="A19" s="11" t="str">
        <f t="shared" si="0"/>
        <v>IBVS 5414 </v>
      </c>
      <c r="B19" s="5" t="str">
        <f t="shared" si="1"/>
        <v>II</v>
      </c>
      <c r="C19" s="11">
        <f t="shared" si="2"/>
        <v>52683.623599999999</v>
      </c>
      <c r="D19" t="str">
        <f t="shared" si="3"/>
        <v>vis</v>
      </c>
      <c r="E19">
        <f>VLOOKUP(C19,'Active 1'!C$21:E$970,3,FALSE)</f>
        <v>12758.475110121582</v>
      </c>
      <c r="F19" s="5" t="s">
        <v>92</v>
      </c>
      <c r="G19" t="str">
        <f t="shared" si="4"/>
        <v>52683.6236</v>
      </c>
      <c r="H19" s="11">
        <f t="shared" si="5"/>
        <v>488.5</v>
      </c>
      <c r="I19" s="20" t="s">
        <v>120</v>
      </c>
      <c r="J19" s="21" t="s">
        <v>121</v>
      </c>
      <c r="K19" s="20">
        <v>488.5</v>
      </c>
      <c r="L19" s="20" t="s">
        <v>122</v>
      </c>
      <c r="M19" s="21" t="s">
        <v>96</v>
      </c>
      <c r="N19" s="21" t="s">
        <v>97</v>
      </c>
      <c r="O19" s="22" t="s">
        <v>98</v>
      </c>
      <c r="P19" s="23" t="s">
        <v>99</v>
      </c>
    </row>
    <row r="20" spans="1:16" ht="12.75" customHeight="1" x14ac:dyDescent="0.2">
      <c r="A20" s="11" t="str">
        <f t="shared" si="0"/>
        <v>IBVS 5414 </v>
      </c>
      <c r="B20" s="5" t="str">
        <f t="shared" si="1"/>
        <v>II</v>
      </c>
      <c r="C20" s="11">
        <f t="shared" si="2"/>
        <v>52693.386299999998</v>
      </c>
      <c r="D20" t="str">
        <f t="shared" si="3"/>
        <v>vis</v>
      </c>
      <c r="E20">
        <f>VLOOKUP(C20,'Active 1'!C$21:E$970,3,FALSE)</f>
        <v>12784.474726626771</v>
      </c>
      <c r="F20" s="5" t="s">
        <v>92</v>
      </c>
      <c r="G20" t="str">
        <f t="shared" si="4"/>
        <v>52693.3863</v>
      </c>
      <c r="H20" s="11">
        <f t="shared" si="5"/>
        <v>514.5</v>
      </c>
      <c r="I20" s="20" t="s">
        <v>123</v>
      </c>
      <c r="J20" s="21" t="s">
        <v>124</v>
      </c>
      <c r="K20" s="20">
        <v>514.5</v>
      </c>
      <c r="L20" s="20" t="s">
        <v>125</v>
      </c>
      <c r="M20" s="21" t="s">
        <v>96</v>
      </c>
      <c r="N20" s="21" t="s">
        <v>97</v>
      </c>
      <c r="O20" s="22" t="s">
        <v>98</v>
      </c>
      <c r="P20" s="23" t="s">
        <v>99</v>
      </c>
    </row>
    <row r="21" spans="1:16" ht="12.75" customHeight="1" x14ac:dyDescent="0.2">
      <c r="A21" s="11" t="str">
        <f t="shared" si="0"/>
        <v>IBVS 5414 </v>
      </c>
      <c r="B21" s="5" t="str">
        <f t="shared" si="1"/>
        <v>II</v>
      </c>
      <c r="C21" s="11">
        <f t="shared" si="2"/>
        <v>52693.386400000003</v>
      </c>
      <c r="D21" t="str">
        <f t="shared" si="3"/>
        <v>vis</v>
      </c>
      <c r="E21">
        <f>VLOOKUP(C21,'Active 1'!C$21:E$970,3,FALSE)</f>
        <v>12784.474992942625</v>
      </c>
      <c r="F21" s="5" t="s">
        <v>92</v>
      </c>
      <c r="G21" t="str">
        <f t="shared" si="4"/>
        <v>52693.3864</v>
      </c>
      <c r="H21" s="11">
        <f t="shared" si="5"/>
        <v>514.5</v>
      </c>
      <c r="I21" s="20" t="s">
        <v>126</v>
      </c>
      <c r="J21" s="21" t="s">
        <v>124</v>
      </c>
      <c r="K21" s="20">
        <v>514.5</v>
      </c>
      <c r="L21" s="20" t="s">
        <v>122</v>
      </c>
      <c r="M21" s="21" t="s">
        <v>96</v>
      </c>
      <c r="N21" s="21" t="s">
        <v>97</v>
      </c>
      <c r="O21" s="22" t="s">
        <v>98</v>
      </c>
      <c r="P21" s="23" t="s">
        <v>99</v>
      </c>
    </row>
    <row r="22" spans="1:16" ht="12.75" customHeight="1" x14ac:dyDescent="0.2">
      <c r="A22" s="11" t="str">
        <f t="shared" si="0"/>
        <v>IBVS 5414 </v>
      </c>
      <c r="B22" s="5" t="str">
        <f t="shared" si="1"/>
        <v>I</v>
      </c>
      <c r="C22" s="11">
        <f t="shared" si="2"/>
        <v>52693.5772</v>
      </c>
      <c r="D22" t="str">
        <f t="shared" si="3"/>
        <v>vis</v>
      </c>
      <c r="E22">
        <f>VLOOKUP(C22,'Active 1'!C$21:E$970,3,FALSE)</f>
        <v>12784.983123565209</v>
      </c>
      <c r="F22" s="5" t="s">
        <v>92</v>
      </c>
      <c r="G22" t="str">
        <f t="shared" si="4"/>
        <v>52693.5772</v>
      </c>
      <c r="H22" s="11">
        <f t="shared" si="5"/>
        <v>515</v>
      </c>
      <c r="I22" s="20" t="s">
        <v>127</v>
      </c>
      <c r="J22" s="21" t="s">
        <v>128</v>
      </c>
      <c r="K22" s="20">
        <v>515</v>
      </c>
      <c r="L22" s="20" t="s">
        <v>129</v>
      </c>
      <c r="M22" s="21" t="s">
        <v>96</v>
      </c>
      <c r="N22" s="21" t="s">
        <v>97</v>
      </c>
      <c r="O22" s="22" t="s">
        <v>98</v>
      </c>
      <c r="P22" s="23" t="s">
        <v>99</v>
      </c>
    </row>
    <row r="23" spans="1:16" ht="12.75" customHeight="1" x14ac:dyDescent="0.2">
      <c r="A23" s="11" t="str">
        <f t="shared" si="0"/>
        <v>IBVS 5414 </v>
      </c>
      <c r="B23" s="5" t="str">
        <f t="shared" si="1"/>
        <v>I</v>
      </c>
      <c r="C23" s="11">
        <f t="shared" si="2"/>
        <v>52695.453999999998</v>
      </c>
      <c r="D23" t="str">
        <f t="shared" si="3"/>
        <v>vis</v>
      </c>
      <c r="E23">
        <f>VLOOKUP(C23,'Active 1'!C$21:E$970,3,FALSE)</f>
        <v>12789.981339249076</v>
      </c>
      <c r="F23" s="5" t="s">
        <v>92</v>
      </c>
      <c r="G23" t="str">
        <f t="shared" si="4"/>
        <v>52695.4540</v>
      </c>
      <c r="H23" s="11">
        <f t="shared" si="5"/>
        <v>520</v>
      </c>
      <c r="I23" s="20" t="s">
        <v>130</v>
      </c>
      <c r="J23" s="21" t="s">
        <v>131</v>
      </c>
      <c r="K23" s="20">
        <v>520</v>
      </c>
      <c r="L23" s="20" t="s">
        <v>108</v>
      </c>
      <c r="M23" s="21" t="s">
        <v>96</v>
      </c>
      <c r="N23" s="21" t="s">
        <v>97</v>
      </c>
      <c r="O23" s="22" t="s">
        <v>98</v>
      </c>
      <c r="P23" s="23" t="s">
        <v>99</v>
      </c>
    </row>
    <row r="24" spans="1:16" ht="12.75" customHeight="1" x14ac:dyDescent="0.2">
      <c r="A24" s="11" t="str">
        <f t="shared" si="0"/>
        <v> BBS 130 </v>
      </c>
      <c r="B24" s="5" t="str">
        <f t="shared" si="1"/>
        <v>I</v>
      </c>
      <c r="C24" s="11">
        <f t="shared" si="2"/>
        <v>52754.405700000003</v>
      </c>
      <c r="D24" t="str">
        <f t="shared" si="3"/>
        <v>vis</v>
      </c>
      <c r="E24">
        <f>VLOOKUP(C24,'Active 1'!C$21:E$970,3,FALSE)</f>
        <v>12946.979054259184</v>
      </c>
      <c r="F24" s="5" t="s">
        <v>92</v>
      </c>
      <c r="G24" t="str">
        <f t="shared" si="4"/>
        <v>52754.4057</v>
      </c>
      <c r="H24" s="11">
        <f t="shared" si="5"/>
        <v>677</v>
      </c>
      <c r="I24" s="20" t="s">
        <v>132</v>
      </c>
      <c r="J24" s="21" t="s">
        <v>133</v>
      </c>
      <c r="K24" s="20">
        <v>677</v>
      </c>
      <c r="L24" s="20" t="s">
        <v>134</v>
      </c>
      <c r="M24" s="21" t="s">
        <v>96</v>
      </c>
      <c r="N24" s="21" t="s">
        <v>97</v>
      </c>
      <c r="O24" s="22" t="s">
        <v>135</v>
      </c>
      <c r="P24" s="22" t="s">
        <v>136</v>
      </c>
    </row>
    <row r="25" spans="1:16" ht="12.75" customHeight="1" x14ac:dyDescent="0.2">
      <c r="A25" s="11" t="str">
        <f t="shared" si="0"/>
        <v>IBVS 5668 </v>
      </c>
      <c r="B25" s="5" t="str">
        <f t="shared" si="1"/>
        <v>I</v>
      </c>
      <c r="C25" s="11">
        <f t="shared" si="2"/>
        <v>53511.3923</v>
      </c>
      <c r="D25" t="str">
        <f t="shared" si="3"/>
        <v>vis</v>
      </c>
      <c r="E25">
        <f>VLOOKUP(C25,'Active 1'!C$21:E$970,3,FALSE)</f>
        <v>14962.954276233426</v>
      </c>
      <c r="F25" s="5" t="s">
        <v>92</v>
      </c>
      <c r="G25" t="str">
        <f t="shared" si="4"/>
        <v>53511.3923</v>
      </c>
      <c r="H25" s="11">
        <f t="shared" si="5"/>
        <v>2693</v>
      </c>
      <c r="I25" s="20" t="s">
        <v>137</v>
      </c>
      <c r="J25" s="21" t="s">
        <v>138</v>
      </c>
      <c r="K25" s="20">
        <v>2693</v>
      </c>
      <c r="L25" s="20" t="s">
        <v>139</v>
      </c>
      <c r="M25" s="21" t="s">
        <v>96</v>
      </c>
      <c r="N25" s="21" t="s">
        <v>97</v>
      </c>
      <c r="O25" s="22" t="s">
        <v>98</v>
      </c>
      <c r="P25" s="23" t="s">
        <v>140</v>
      </c>
    </row>
    <row r="26" spans="1:16" ht="12.75" customHeight="1" x14ac:dyDescent="0.2">
      <c r="A26" s="11" t="str">
        <f t="shared" si="0"/>
        <v>BAVM 178 </v>
      </c>
      <c r="B26" s="5" t="str">
        <f t="shared" si="1"/>
        <v>I</v>
      </c>
      <c r="C26" s="11">
        <f t="shared" si="2"/>
        <v>53834.318200000002</v>
      </c>
      <c r="D26" t="str">
        <f t="shared" si="3"/>
        <v>vis</v>
      </c>
      <c r="E26">
        <f>VLOOKUP(C26,'Active 1'!C$21:E$970,3,FALSE)</f>
        <v>15822.957099181334</v>
      </c>
      <c r="F26" s="5" t="s">
        <v>92</v>
      </c>
      <c r="G26" t="str">
        <f t="shared" si="4"/>
        <v>53834.3182</v>
      </c>
      <c r="H26" s="11">
        <f t="shared" si="5"/>
        <v>3553</v>
      </c>
      <c r="I26" s="20" t="s">
        <v>141</v>
      </c>
      <c r="J26" s="21" t="s">
        <v>142</v>
      </c>
      <c r="K26" s="20">
        <v>3553</v>
      </c>
      <c r="L26" s="20" t="s">
        <v>143</v>
      </c>
      <c r="M26" s="21" t="s">
        <v>144</v>
      </c>
      <c r="N26" s="21" t="s">
        <v>145</v>
      </c>
      <c r="O26" s="22" t="s">
        <v>146</v>
      </c>
      <c r="P26" s="23" t="s">
        <v>147</v>
      </c>
    </row>
    <row r="27" spans="1:16" ht="12.75" customHeight="1" x14ac:dyDescent="0.2">
      <c r="A27" s="11" t="str">
        <f t="shared" si="0"/>
        <v>IBVS 5760 </v>
      </c>
      <c r="B27" s="5" t="str">
        <f t="shared" si="1"/>
        <v>I</v>
      </c>
      <c r="C27" s="11">
        <f t="shared" si="2"/>
        <v>54085.894</v>
      </c>
      <c r="D27" t="str">
        <f t="shared" si="3"/>
        <v>vis</v>
      </c>
      <c r="E27">
        <f>VLOOKUP(C27,'Active 1'!C$21:E$970,3,FALSE)</f>
        <v>16492.943304020824</v>
      </c>
      <c r="F27" s="5" t="s">
        <v>92</v>
      </c>
      <c r="G27" t="str">
        <f t="shared" si="4"/>
        <v>54085.894</v>
      </c>
      <c r="H27" s="11">
        <f t="shared" si="5"/>
        <v>4223</v>
      </c>
      <c r="I27" s="20" t="s">
        <v>148</v>
      </c>
      <c r="J27" s="21" t="s">
        <v>149</v>
      </c>
      <c r="K27" s="20" t="s">
        <v>150</v>
      </c>
      <c r="L27" s="20" t="s">
        <v>151</v>
      </c>
      <c r="M27" s="21" t="s">
        <v>144</v>
      </c>
      <c r="N27" s="21" t="s">
        <v>152</v>
      </c>
      <c r="O27" s="22" t="s">
        <v>153</v>
      </c>
      <c r="P27" s="23" t="s">
        <v>154</v>
      </c>
    </row>
    <row r="28" spans="1:16" ht="12.75" customHeight="1" x14ac:dyDescent="0.2">
      <c r="A28" s="11" t="str">
        <f t="shared" si="0"/>
        <v>IBVS 5820 </v>
      </c>
      <c r="B28" s="5" t="str">
        <f t="shared" si="1"/>
        <v>I</v>
      </c>
      <c r="C28" s="11">
        <f t="shared" si="2"/>
        <v>54418.955800000003</v>
      </c>
      <c r="D28" t="str">
        <f t="shared" si="3"/>
        <v>vis</v>
      </c>
      <c r="E28">
        <f>VLOOKUP(C28,'Active 1'!C$21:E$970,3,FALSE)</f>
        <v>17379.939634188559</v>
      </c>
      <c r="F28" s="5" t="s">
        <v>92</v>
      </c>
      <c r="G28" t="str">
        <f t="shared" si="4"/>
        <v>54418.9558</v>
      </c>
      <c r="H28" s="11">
        <f t="shared" si="5"/>
        <v>5110</v>
      </c>
      <c r="I28" s="20" t="s">
        <v>155</v>
      </c>
      <c r="J28" s="21" t="s">
        <v>156</v>
      </c>
      <c r="K28" s="20" t="s">
        <v>157</v>
      </c>
      <c r="L28" s="20" t="s">
        <v>158</v>
      </c>
      <c r="M28" s="21" t="s">
        <v>144</v>
      </c>
      <c r="N28" s="21" t="s">
        <v>152</v>
      </c>
      <c r="O28" s="22" t="s">
        <v>153</v>
      </c>
      <c r="P28" s="23" t="s">
        <v>159</v>
      </c>
    </row>
    <row r="29" spans="1:16" ht="12.75" customHeight="1" x14ac:dyDescent="0.2">
      <c r="A29" s="11" t="str">
        <f t="shared" si="0"/>
        <v>IBVS 5898 </v>
      </c>
      <c r="B29" s="5" t="str">
        <f t="shared" si="1"/>
        <v>I</v>
      </c>
      <c r="C29" s="11">
        <f t="shared" si="2"/>
        <v>54424.587200000002</v>
      </c>
      <c r="D29" t="str">
        <f t="shared" si="3"/>
        <v>vis</v>
      </c>
      <c r="E29">
        <f>VLOOKUP(C29,'Active 1'!C$21:E$970,3,FALSE)</f>
        <v>17394.936944398571</v>
      </c>
      <c r="F29" s="5" t="s">
        <v>92</v>
      </c>
      <c r="G29" t="str">
        <f t="shared" si="4"/>
        <v>54424.5872</v>
      </c>
      <c r="H29" s="11">
        <f t="shared" si="5"/>
        <v>5125</v>
      </c>
      <c r="I29" s="20" t="s">
        <v>160</v>
      </c>
      <c r="J29" s="21" t="s">
        <v>161</v>
      </c>
      <c r="K29" s="20" t="s">
        <v>162</v>
      </c>
      <c r="L29" s="20" t="s">
        <v>163</v>
      </c>
      <c r="M29" s="21" t="s">
        <v>144</v>
      </c>
      <c r="N29" s="21" t="s">
        <v>164</v>
      </c>
      <c r="O29" s="22" t="s">
        <v>165</v>
      </c>
      <c r="P29" s="23" t="s">
        <v>166</v>
      </c>
    </row>
    <row r="30" spans="1:16" ht="12.75" customHeight="1" x14ac:dyDescent="0.2">
      <c r="A30" s="11" t="str">
        <f t="shared" si="0"/>
        <v>IBVS 5898 </v>
      </c>
      <c r="B30" s="5" t="str">
        <f t="shared" si="1"/>
        <v>I</v>
      </c>
      <c r="C30" s="11">
        <f t="shared" si="2"/>
        <v>54532.3577</v>
      </c>
      <c r="D30" t="str">
        <f t="shared" si="3"/>
        <v>vis</v>
      </c>
      <c r="E30">
        <f>VLOOKUP(C30,'Active 1'!C$21:E$970,3,FALSE)</f>
        <v>17681.946856674127</v>
      </c>
      <c r="F30" s="5" t="s">
        <v>92</v>
      </c>
      <c r="G30" t="str">
        <f t="shared" si="4"/>
        <v>54532.3577</v>
      </c>
      <c r="H30" s="11">
        <f t="shared" si="5"/>
        <v>5412</v>
      </c>
      <c r="I30" s="20" t="s">
        <v>167</v>
      </c>
      <c r="J30" s="21" t="s">
        <v>168</v>
      </c>
      <c r="K30" s="20" t="s">
        <v>169</v>
      </c>
      <c r="L30" s="20" t="s">
        <v>170</v>
      </c>
      <c r="M30" s="21" t="s">
        <v>144</v>
      </c>
      <c r="N30" s="21" t="s">
        <v>164</v>
      </c>
      <c r="O30" s="22" t="s">
        <v>165</v>
      </c>
      <c r="P30" s="23" t="s">
        <v>166</v>
      </c>
    </row>
    <row r="31" spans="1:16" ht="12.75" customHeight="1" x14ac:dyDescent="0.2">
      <c r="A31" s="11" t="str">
        <f t="shared" si="0"/>
        <v>IBVS 5898 </v>
      </c>
      <c r="B31" s="5" t="str">
        <f t="shared" si="1"/>
        <v>II</v>
      </c>
      <c r="C31" s="11">
        <f t="shared" si="2"/>
        <v>54532.541599999997</v>
      </c>
      <c r="D31" t="str">
        <f t="shared" si="3"/>
        <v>vis</v>
      </c>
      <c r="E31">
        <f>VLOOKUP(C31,'Active 1'!C$21:E$970,3,FALSE)</f>
        <v>17682.436611503756</v>
      </c>
      <c r="F31" s="5" t="s">
        <v>92</v>
      </c>
      <c r="G31" t="str">
        <f t="shared" si="4"/>
        <v>54532.5416</v>
      </c>
      <c r="H31" s="11">
        <f t="shared" si="5"/>
        <v>5412.5</v>
      </c>
      <c r="I31" s="20" t="s">
        <v>171</v>
      </c>
      <c r="J31" s="21" t="s">
        <v>172</v>
      </c>
      <c r="K31" s="20" t="s">
        <v>173</v>
      </c>
      <c r="L31" s="20" t="s">
        <v>174</v>
      </c>
      <c r="M31" s="21" t="s">
        <v>144</v>
      </c>
      <c r="N31" s="21" t="s">
        <v>164</v>
      </c>
      <c r="O31" s="22" t="s">
        <v>165</v>
      </c>
      <c r="P31" s="23" t="s">
        <v>166</v>
      </c>
    </row>
    <row r="32" spans="1:16" ht="12.75" customHeight="1" x14ac:dyDescent="0.2">
      <c r="A32" s="11" t="str">
        <f t="shared" si="0"/>
        <v>IBVS 5887 </v>
      </c>
      <c r="B32" s="5" t="str">
        <f t="shared" si="1"/>
        <v>II</v>
      </c>
      <c r="C32" s="11">
        <f t="shared" si="2"/>
        <v>54818.9856</v>
      </c>
      <c r="D32" t="str">
        <f t="shared" si="3"/>
        <v>vis</v>
      </c>
      <c r="E32">
        <f>VLOOKUP(C32,'Active 1'!C$21:E$970,3,FALSE)</f>
        <v>18445.282356042957</v>
      </c>
      <c r="F32" s="5" t="s">
        <v>92</v>
      </c>
      <c r="G32" t="str">
        <f t="shared" si="4"/>
        <v>54818.9856</v>
      </c>
      <c r="H32" s="11">
        <f t="shared" si="5"/>
        <v>6175.5</v>
      </c>
      <c r="I32" s="20" t="s">
        <v>175</v>
      </c>
      <c r="J32" s="21" t="s">
        <v>176</v>
      </c>
      <c r="K32" s="20" t="s">
        <v>177</v>
      </c>
      <c r="L32" s="20" t="s">
        <v>178</v>
      </c>
      <c r="M32" s="21" t="s">
        <v>144</v>
      </c>
      <c r="N32" s="21" t="s">
        <v>179</v>
      </c>
      <c r="O32" s="22" t="s">
        <v>180</v>
      </c>
      <c r="P32" s="23" t="s">
        <v>181</v>
      </c>
    </row>
    <row r="33" spans="1:16" ht="12.75" customHeight="1" x14ac:dyDescent="0.2">
      <c r="A33" s="11" t="str">
        <f t="shared" si="0"/>
        <v>IBVS 5887 </v>
      </c>
      <c r="B33" s="5" t="str">
        <f t="shared" si="1"/>
        <v>I</v>
      </c>
      <c r="C33" s="11">
        <f t="shared" si="2"/>
        <v>54833.499799999998</v>
      </c>
      <c r="D33" t="str">
        <f t="shared" si="3"/>
        <v>vis</v>
      </c>
      <c r="E33">
        <f>VLOOKUP(C33,'Active 1'!C$21:E$970,3,FALSE)</f>
        <v>18483.935969682585</v>
      </c>
      <c r="F33" s="5" t="s">
        <v>92</v>
      </c>
      <c r="G33" t="str">
        <f t="shared" si="4"/>
        <v>54833.4998</v>
      </c>
      <c r="H33" s="11">
        <f t="shared" si="5"/>
        <v>6214</v>
      </c>
      <c r="I33" s="20" t="s">
        <v>182</v>
      </c>
      <c r="J33" s="21" t="s">
        <v>183</v>
      </c>
      <c r="K33" s="20" t="s">
        <v>184</v>
      </c>
      <c r="L33" s="20" t="s">
        <v>185</v>
      </c>
      <c r="M33" s="21" t="s">
        <v>144</v>
      </c>
      <c r="N33" s="21" t="s">
        <v>179</v>
      </c>
      <c r="O33" s="22" t="s">
        <v>186</v>
      </c>
      <c r="P33" s="23" t="s">
        <v>181</v>
      </c>
    </row>
    <row r="34" spans="1:16" ht="12.75" customHeight="1" x14ac:dyDescent="0.2">
      <c r="A34" s="11" t="str">
        <f t="shared" si="0"/>
        <v>IBVS 5887 </v>
      </c>
      <c r="B34" s="5" t="str">
        <f t="shared" si="1"/>
        <v>II</v>
      </c>
      <c r="C34" s="11">
        <f t="shared" si="2"/>
        <v>54843.450100000002</v>
      </c>
      <c r="D34" t="str">
        <f t="shared" si="3"/>
        <v>vis</v>
      </c>
      <c r="E34">
        <f>VLOOKUP(C34,'Active 1'!C$21:E$970,3,FALSE)</f>
        <v>18510.435194703503</v>
      </c>
      <c r="F34" s="5" t="s">
        <v>92</v>
      </c>
      <c r="G34" t="str">
        <f t="shared" si="4"/>
        <v>54843.4501</v>
      </c>
      <c r="H34" s="11">
        <f t="shared" si="5"/>
        <v>6240.5</v>
      </c>
      <c r="I34" s="20" t="s">
        <v>187</v>
      </c>
      <c r="J34" s="21" t="s">
        <v>188</v>
      </c>
      <c r="K34" s="20" t="s">
        <v>189</v>
      </c>
      <c r="L34" s="20" t="s">
        <v>190</v>
      </c>
      <c r="M34" s="21" t="s">
        <v>144</v>
      </c>
      <c r="N34" s="21" t="s">
        <v>179</v>
      </c>
      <c r="O34" s="22" t="s">
        <v>191</v>
      </c>
      <c r="P34" s="23" t="s">
        <v>181</v>
      </c>
    </row>
    <row r="35" spans="1:16" ht="12.75" customHeight="1" x14ac:dyDescent="0.2">
      <c r="A35" s="11" t="str">
        <f t="shared" si="0"/>
        <v>IBVS 5887 </v>
      </c>
      <c r="B35" s="5" t="str">
        <f t="shared" si="1"/>
        <v>II</v>
      </c>
      <c r="C35" s="11">
        <f t="shared" si="2"/>
        <v>54852.462699999996</v>
      </c>
      <c r="D35" t="str">
        <f t="shared" si="3"/>
        <v>vis</v>
      </c>
      <c r="E35">
        <f>VLOOKUP(C35,'Active 1'!C$21:E$970,3,FALSE)</f>
        <v>18534.437176093335</v>
      </c>
      <c r="F35" s="5" t="s">
        <v>92</v>
      </c>
      <c r="G35" t="str">
        <f t="shared" si="4"/>
        <v>54852.4627</v>
      </c>
      <c r="H35" s="11">
        <f t="shared" si="5"/>
        <v>6264.5</v>
      </c>
      <c r="I35" s="20" t="s">
        <v>192</v>
      </c>
      <c r="J35" s="21" t="s">
        <v>193</v>
      </c>
      <c r="K35" s="20" t="s">
        <v>194</v>
      </c>
      <c r="L35" s="20" t="s">
        <v>195</v>
      </c>
      <c r="M35" s="21" t="s">
        <v>144</v>
      </c>
      <c r="N35" s="21" t="s">
        <v>179</v>
      </c>
      <c r="O35" s="22" t="s">
        <v>196</v>
      </c>
      <c r="P35" s="23" t="s">
        <v>181</v>
      </c>
    </row>
    <row r="36" spans="1:16" ht="12.75" customHeight="1" x14ac:dyDescent="0.2">
      <c r="A36" s="11" t="str">
        <f t="shared" si="0"/>
        <v>IBVS 5929 </v>
      </c>
      <c r="B36" s="5" t="str">
        <f t="shared" si="1"/>
        <v>II</v>
      </c>
      <c r="C36" s="11">
        <f t="shared" si="2"/>
        <v>54872.736700000001</v>
      </c>
      <c r="D36" t="str">
        <f t="shared" si="3"/>
        <v>vis</v>
      </c>
      <c r="E36">
        <f>VLOOKUP(C36,'Active 1'!C$21:E$970,3,FALSE)</f>
        <v>18588.430049481474</v>
      </c>
      <c r="F36" s="5" t="s">
        <v>92</v>
      </c>
      <c r="G36" t="str">
        <f t="shared" si="4"/>
        <v>54872.7367</v>
      </c>
      <c r="H36" s="11">
        <f t="shared" si="5"/>
        <v>6318.5</v>
      </c>
      <c r="I36" s="20" t="s">
        <v>197</v>
      </c>
      <c r="J36" s="21" t="s">
        <v>198</v>
      </c>
      <c r="K36" s="20" t="s">
        <v>199</v>
      </c>
      <c r="L36" s="20" t="s">
        <v>200</v>
      </c>
      <c r="M36" s="21" t="s">
        <v>144</v>
      </c>
      <c r="N36" s="21" t="s">
        <v>87</v>
      </c>
      <c r="O36" s="22" t="s">
        <v>153</v>
      </c>
      <c r="P36" s="23" t="s">
        <v>201</v>
      </c>
    </row>
    <row r="37" spans="1:16" ht="12.75" customHeight="1" x14ac:dyDescent="0.2">
      <c r="A37" s="11" t="str">
        <f t="shared" si="0"/>
        <v>IBVS 5898 </v>
      </c>
      <c r="B37" s="5" t="str">
        <f t="shared" si="1"/>
        <v>I</v>
      </c>
      <c r="C37" s="11">
        <f t="shared" si="2"/>
        <v>54912.353000000003</v>
      </c>
      <c r="D37" t="str">
        <f t="shared" si="3"/>
        <v>vis</v>
      </c>
      <c r="E37">
        <f>VLOOKUP(C37,'Active 1'!C$21:E$970,3,FALSE)</f>
        <v>18693.934531577062</v>
      </c>
      <c r="F37" s="5" t="s">
        <v>92</v>
      </c>
      <c r="G37" t="str">
        <f t="shared" si="4"/>
        <v>54912.3530</v>
      </c>
      <c r="H37" s="11">
        <f t="shared" si="5"/>
        <v>6424</v>
      </c>
      <c r="I37" s="20" t="s">
        <v>202</v>
      </c>
      <c r="J37" s="21" t="s">
        <v>203</v>
      </c>
      <c r="K37" s="20" t="s">
        <v>204</v>
      </c>
      <c r="L37" s="20" t="s">
        <v>205</v>
      </c>
      <c r="M37" s="21" t="s">
        <v>144</v>
      </c>
      <c r="N37" s="21" t="s">
        <v>92</v>
      </c>
      <c r="O37" s="22" t="s">
        <v>165</v>
      </c>
      <c r="P37" s="23" t="s">
        <v>166</v>
      </c>
    </row>
    <row r="38" spans="1:16" ht="12.75" customHeight="1" x14ac:dyDescent="0.2">
      <c r="A38" s="11" t="str">
        <f t="shared" si="0"/>
        <v>IBVS 5898 </v>
      </c>
      <c r="B38" s="5" t="str">
        <f t="shared" si="1"/>
        <v>II</v>
      </c>
      <c r="C38" s="11">
        <f t="shared" si="2"/>
        <v>54922.305200000003</v>
      </c>
      <c r="D38" t="str">
        <f t="shared" si="3"/>
        <v>vis</v>
      </c>
      <c r="E38">
        <f>VLOOKUP(C38,'Active 1'!C$21:E$970,3,FALSE)</f>
        <v>18720.438816598926</v>
      </c>
      <c r="F38" s="5" t="s">
        <v>92</v>
      </c>
      <c r="G38" t="str">
        <f t="shared" si="4"/>
        <v>54922.3052</v>
      </c>
      <c r="H38" s="11">
        <f t="shared" si="5"/>
        <v>6450.5</v>
      </c>
      <c r="I38" s="20" t="s">
        <v>206</v>
      </c>
      <c r="J38" s="21" t="s">
        <v>207</v>
      </c>
      <c r="K38" s="20" t="s">
        <v>208</v>
      </c>
      <c r="L38" s="20" t="s">
        <v>209</v>
      </c>
      <c r="M38" s="21" t="s">
        <v>144</v>
      </c>
      <c r="N38" s="21" t="s">
        <v>92</v>
      </c>
      <c r="O38" s="22" t="s">
        <v>165</v>
      </c>
      <c r="P38" s="23" t="s">
        <v>166</v>
      </c>
    </row>
    <row r="39" spans="1:16" ht="12.75" customHeight="1" x14ac:dyDescent="0.2">
      <c r="A39" s="11" t="str">
        <f t="shared" si="0"/>
        <v>IBVS 5887 </v>
      </c>
      <c r="B39" s="5" t="str">
        <f t="shared" si="1"/>
        <v>II</v>
      </c>
      <c r="C39" s="11">
        <f t="shared" si="2"/>
        <v>54932.445200000002</v>
      </c>
      <c r="D39" t="str">
        <f t="shared" si="3"/>
        <v>vis</v>
      </c>
      <c r="E39">
        <f>VLOOKUP(C39,'Active 1'!C$21:E$970,3,FALSE)</f>
        <v>18747.443242768186</v>
      </c>
      <c r="F39" s="5" t="s">
        <v>92</v>
      </c>
      <c r="G39" t="str">
        <f t="shared" si="4"/>
        <v>54932.4452</v>
      </c>
      <c r="H39" s="11">
        <f t="shared" si="5"/>
        <v>6477.5</v>
      </c>
      <c r="I39" s="20" t="s">
        <v>210</v>
      </c>
      <c r="J39" s="21" t="s">
        <v>211</v>
      </c>
      <c r="K39" s="20" t="s">
        <v>212</v>
      </c>
      <c r="L39" s="20" t="s">
        <v>213</v>
      </c>
      <c r="M39" s="21" t="s">
        <v>144</v>
      </c>
      <c r="N39" s="21" t="s">
        <v>179</v>
      </c>
      <c r="O39" s="22" t="s">
        <v>214</v>
      </c>
      <c r="P39" s="23" t="s">
        <v>181</v>
      </c>
    </row>
    <row r="40" spans="1:16" ht="12.75" customHeight="1" x14ac:dyDescent="0.2">
      <c r="A40" s="11" t="str">
        <f t="shared" si="0"/>
        <v>IBVS 5980 </v>
      </c>
      <c r="B40" s="5" t="str">
        <f t="shared" si="1"/>
        <v>I</v>
      </c>
      <c r="C40" s="11">
        <f t="shared" si="2"/>
        <v>55272.452599999997</v>
      </c>
      <c r="D40" t="str">
        <f t="shared" si="3"/>
        <v>vis</v>
      </c>
      <c r="E40">
        <f>VLOOKUP(C40,'Active 1'!C$21:E$970,3,FALSE)</f>
        <v>19652.93680591432</v>
      </c>
      <c r="F40" s="5" t="s">
        <v>92</v>
      </c>
      <c r="G40" t="str">
        <f t="shared" si="4"/>
        <v>55272.4526</v>
      </c>
      <c r="H40" s="11">
        <f t="shared" si="5"/>
        <v>7383</v>
      </c>
      <c r="I40" s="20" t="s">
        <v>215</v>
      </c>
      <c r="J40" s="21" t="s">
        <v>216</v>
      </c>
      <c r="K40" s="20" t="s">
        <v>217</v>
      </c>
      <c r="L40" s="20" t="s">
        <v>209</v>
      </c>
      <c r="M40" s="21" t="s">
        <v>144</v>
      </c>
      <c r="N40" s="21" t="s">
        <v>92</v>
      </c>
      <c r="O40" s="22" t="s">
        <v>165</v>
      </c>
      <c r="P40" s="23" t="s">
        <v>218</v>
      </c>
    </row>
    <row r="41" spans="1:16" ht="12.75" customHeight="1" x14ac:dyDescent="0.2">
      <c r="A41" s="11" t="str">
        <f t="shared" si="0"/>
        <v>IBVS 6044 </v>
      </c>
      <c r="B41" s="5" t="str">
        <f t="shared" si="1"/>
        <v>I</v>
      </c>
      <c r="C41" s="11">
        <f t="shared" si="2"/>
        <v>55684.366600000001</v>
      </c>
      <c r="D41" t="str">
        <f t="shared" si="3"/>
        <v>vis</v>
      </c>
      <c r="E41">
        <f>VLOOKUP(C41,'Active 1'!C$21:E$970,3,FALSE)</f>
        <v>20749.929034818124</v>
      </c>
      <c r="F41" s="5" t="s">
        <v>92</v>
      </c>
      <c r="G41" t="str">
        <f t="shared" si="4"/>
        <v>55684.3666</v>
      </c>
      <c r="H41" s="11">
        <f t="shared" si="5"/>
        <v>8480</v>
      </c>
      <c r="I41" s="20" t="s">
        <v>219</v>
      </c>
      <c r="J41" s="21" t="s">
        <v>220</v>
      </c>
      <c r="K41" s="20" t="s">
        <v>221</v>
      </c>
      <c r="L41" s="20" t="s">
        <v>163</v>
      </c>
      <c r="M41" s="21" t="s">
        <v>144</v>
      </c>
      <c r="N41" s="21" t="s">
        <v>92</v>
      </c>
      <c r="O41" s="22" t="s">
        <v>165</v>
      </c>
      <c r="P41" s="23" t="s">
        <v>222</v>
      </c>
    </row>
    <row r="42" spans="1:16" ht="12.75" customHeight="1" x14ac:dyDescent="0.2">
      <c r="A42" s="11" t="str">
        <f t="shared" si="0"/>
        <v>IBVS 6092 </v>
      </c>
      <c r="B42" s="5" t="str">
        <f t="shared" si="1"/>
        <v>II</v>
      </c>
      <c r="C42" s="11">
        <f t="shared" si="2"/>
        <v>56304.871599999999</v>
      </c>
      <c r="D42" t="str">
        <f t="shared" si="3"/>
        <v>vis</v>
      </c>
      <c r="E42">
        <f>VLOOKUP(C42,'Active 1'!C$21:E$970,3,FALSE)</f>
        <v>22402.432137397649</v>
      </c>
      <c r="F42" s="5" t="s">
        <v>92</v>
      </c>
      <c r="G42" t="str">
        <f t="shared" si="4"/>
        <v>56304.8716</v>
      </c>
      <c r="H42" s="11">
        <f t="shared" si="5"/>
        <v>10132.5</v>
      </c>
      <c r="I42" s="20" t="s">
        <v>223</v>
      </c>
      <c r="J42" s="21" t="s">
        <v>224</v>
      </c>
      <c r="K42" s="20" t="s">
        <v>225</v>
      </c>
      <c r="L42" s="20" t="s">
        <v>226</v>
      </c>
      <c r="M42" s="21" t="s">
        <v>144</v>
      </c>
      <c r="N42" s="21" t="s">
        <v>152</v>
      </c>
      <c r="O42" s="22" t="s">
        <v>153</v>
      </c>
      <c r="P42" s="23" t="s">
        <v>227</v>
      </c>
    </row>
    <row r="43" spans="1:16" ht="12.75" customHeight="1" x14ac:dyDescent="0.2">
      <c r="A43" s="11" t="str">
        <f t="shared" si="0"/>
        <v>IBVS 6125 </v>
      </c>
      <c r="B43" s="5" t="str">
        <f t="shared" si="1"/>
        <v>I</v>
      </c>
      <c r="C43" s="11">
        <f t="shared" si="2"/>
        <v>56357.252999999997</v>
      </c>
      <c r="D43" t="str">
        <f t="shared" si="3"/>
        <v>vis</v>
      </c>
      <c r="E43">
        <f>VLOOKUP(C43,'Active 1'!C$21:E$970,3,FALSE)</f>
        <v>22541.932102776587</v>
      </c>
      <c r="F43" s="5" t="s">
        <v>92</v>
      </c>
      <c r="G43" t="str">
        <f t="shared" si="4"/>
        <v>56357.2530</v>
      </c>
      <c r="H43" s="11">
        <f t="shared" si="5"/>
        <v>10272</v>
      </c>
      <c r="I43" s="20" t="s">
        <v>228</v>
      </c>
      <c r="J43" s="21" t="s">
        <v>229</v>
      </c>
      <c r="K43" s="20" t="s">
        <v>230</v>
      </c>
      <c r="L43" s="20" t="s">
        <v>231</v>
      </c>
      <c r="M43" s="21" t="s">
        <v>144</v>
      </c>
      <c r="N43" s="21" t="s">
        <v>179</v>
      </c>
      <c r="O43" s="22" t="s">
        <v>232</v>
      </c>
      <c r="P43" s="23" t="s">
        <v>233</v>
      </c>
    </row>
    <row r="44" spans="1:16" ht="12.75" customHeight="1" x14ac:dyDescent="0.2">
      <c r="A44" s="11" t="str">
        <f t="shared" si="0"/>
        <v>IBVS 6131 </v>
      </c>
      <c r="B44" s="5" t="str">
        <f t="shared" si="1"/>
        <v>I</v>
      </c>
      <c r="C44" s="11">
        <f t="shared" si="2"/>
        <v>57021.879699999998</v>
      </c>
      <c r="D44" t="str">
        <f t="shared" si="3"/>
        <v>vis</v>
      </c>
      <c r="E44">
        <f>VLOOKUP(C44,'Active 1'!C$21:E$970,3,FALSE)</f>
        <v>24311.938281304076</v>
      </c>
      <c r="F44" s="5" t="s">
        <v>92</v>
      </c>
      <c r="G44" t="str">
        <f t="shared" si="4"/>
        <v>57021.8797</v>
      </c>
      <c r="H44" s="11">
        <f t="shared" si="5"/>
        <v>12042</v>
      </c>
      <c r="I44" s="20" t="s">
        <v>234</v>
      </c>
      <c r="J44" s="21" t="s">
        <v>235</v>
      </c>
      <c r="K44" s="20" t="s">
        <v>236</v>
      </c>
      <c r="L44" s="20" t="s">
        <v>237</v>
      </c>
      <c r="M44" s="21" t="s">
        <v>144</v>
      </c>
      <c r="N44" s="21" t="s">
        <v>152</v>
      </c>
      <c r="O44" s="22" t="s">
        <v>153</v>
      </c>
      <c r="P44" s="23" t="s">
        <v>238</v>
      </c>
    </row>
    <row r="45" spans="1:16" ht="12.75" customHeight="1" x14ac:dyDescent="0.2">
      <c r="A45" s="11" t="str">
        <f t="shared" si="0"/>
        <v>IBVS 5672 </v>
      </c>
      <c r="B45" s="5" t="str">
        <f t="shared" si="1"/>
        <v>I</v>
      </c>
      <c r="C45" s="11">
        <f t="shared" si="2"/>
        <v>53717.911599999999</v>
      </c>
      <c r="D45" t="str">
        <f t="shared" si="3"/>
        <v>vis</v>
      </c>
      <c r="E45" t="e">
        <f>VLOOKUP(C45,'Active 1'!C$21:E$970,3,FALSE)</f>
        <v>#N/A</v>
      </c>
      <c r="F45" s="5" t="s">
        <v>92</v>
      </c>
      <c r="G45" t="str">
        <f t="shared" si="4"/>
        <v>53717.9116</v>
      </c>
      <c r="H45" s="11">
        <f t="shared" si="5"/>
        <v>3243</v>
      </c>
      <c r="I45" s="20" t="s">
        <v>239</v>
      </c>
      <c r="J45" s="21" t="s">
        <v>240</v>
      </c>
      <c r="K45" s="20">
        <v>3243</v>
      </c>
      <c r="L45" s="20" t="s">
        <v>241</v>
      </c>
      <c r="M45" s="21" t="s">
        <v>96</v>
      </c>
      <c r="N45" s="21" t="s">
        <v>97</v>
      </c>
      <c r="O45" s="22" t="s">
        <v>153</v>
      </c>
      <c r="P45" s="23" t="s">
        <v>242</v>
      </c>
    </row>
    <row r="46" spans="1:16" ht="12.75" customHeight="1" x14ac:dyDescent="0.2">
      <c r="A46" s="11" t="str">
        <f t="shared" si="0"/>
        <v>IBVS 6018 </v>
      </c>
      <c r="B46" s="5" t="str">
        <f t="shared" si="1"/>
        <v>II</v>
      </c>
      <c r="C46" s="11">
        <f t="shared" si="2"/>
        <v>55907.974289999998</v>
      </c>
      <c r="D46" t="str">
        <f t="shared" si="3"/>
        <v>vis</v>
      </c>
      <c r="E46" t="e">
        <f>VLOOKUP(C46,'Active 1'!C$21:E$970,3,FALSE)</f>
        <v>#N/A</v>
      </c>
      <c r="F46" s="5" t="s">
        <v>92</v>
      </c>
      <c r="G46" t="str">
        <f t="shared" si="4"/>
        <v>55907.97429</v>
      </c>
      <c r="H46" s="11">
        <f t="shared" si="5"/>
        <v>9075.5</v>
      </c>
      <c r="I46" s="20" t="s">
        <v>243</v>
      </c>
      <c r="J46" s="21" t="s">
        <v>244</v>
      </c>
      <c r="K46" s="20" t="s">
        <v>245</v>
      </c>
      <c r="L46" s="20" t="s">
        <v>246</v>
      </c>
      <c r="M46" s="21" t="s">
        <v>144</v>
      </c>
      <c r="N46" s="21" t="s">
        <v>87</v>
      </c>
      <c r="O46" s="22" t="s">
        <v>153</v>
      </c>
      <c r="P46" s="23" t="s">
        <v>247</v>
      </c>
    </row>
  </sheetData>
  <sheetProtection selectLockedCells="1" selectUnlockedCells="1"/>
  <phoneticPr fontId="19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5" r:id="rId14" xr:uid="{00000000-0004-0000-0100-00000D000000}"/>
    <hyperlink ref="P26" r:id="rId15" xr:uid="{00000000-0004-0000-0100-00000E000000}"/>
    <hyperlink ref="P27" r:id="rId16" xr:uid="{00000000-0004-0000-0100-00000F000000}"/>
    <hyperlink ref="P28" r:id="rId17" xr:uid="{00000000-0004-0000-0100-000010000000}"/>
    <hyperlink ref="P29" r:id="rId18" xr:uid="{00000000-0004-0000-0100-000011000000}"/>
    <hyperlink ref="P30" r:id="rId19" xr:uid="{00000000-0004-0000-0100-000012000000}"/>
    <hyperlink ref="P31" r:id="rId20" xr:uid="{00000000-0004-0000-0100-000013000000}"/>
    <hyperlink ref="P32" r:id="rId21" xr:uid="{00000000-0004-0000-0100-000014000000}"/>
    <hyperlink ref="P33" r:id="rId22" xr:uid="{00000000-0004-0000-0100-000015000000}"/>
    <hyperlink ref="P34" r:id="rId23" xr:uid="{00000000-0004-0000-0100-000016000000}"/>
    <hyperlink ref="P35" r:id="rId24" xr:uid="{00000000-0004-0000-0100-000017000000}"/>
    <hyperlink ref="P36" r:id="rId25" xr:uid="{00000000-0004-0000-0100-000018000000}"/>
    <hyperlink ref="P37" r:id="rId26" xr:uid="{00000000-0004-0000-0100-000019000000}"/>
    <hyperlink ref="P38" r:id="rId27" xr:uid="{00000000-0004-0000-0100-00001A000000}"/>
    <hyperlink ref="P39" r:id="rId28" xr:uid="{00000000-0004-0000-0100-00001B000000}"/>
    <hyperlink ref="P40" r:id="rId29" xr:uid="{00000000-0004-0000-0100-00001C000000}"/>
    <hyperlink ref="P41" r:id="rId30" xr:uid="{00000000-0004-0000-0100-00001D000000}"/>
    <hyperlink ref="P42" r:id="rId31" xr:uid="{00000000-0004-0000-0100-00001E000000}"/>
    <hyperlink ref="P43" r:id="rId32" xr:uid="{00000000-0004-0000-0100-00001F000000}"/>
    <hyperlink ref="P44" r:id="rId33" xr:uid="{00000000-0004-0000-0100-000020000000}"/>
    <hyperlink ref="P45" r:id="rId34" xr:uid="{00000000-0004-0000-0100-000021000000}"/>
    <hyperlink ref="P46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0"/>
  <sheetViews>
    <sheetView workbookViewId="0">
      <selection activeCell="A11" sqref="A11:B140"/>
    </sheetView>
  </sheetViews>
  <sheetFormatPr defaultRowHeight="12.75" x14ac:dyDescent="0.2"/>
  <cols>
    <col min="5" max="5" width="12.42578125" style="1" customWidth="1"/>
  </cols>
  <sheetData>
    <row r="1" spans="1:6" ht="18" x14ac:dyDescent="0.25">
      <c r="A1" s="24" t="s">
        <v>248</v>
      </c>
    </row>
    <row r="6" spans="1:6" x14ac:dyDescent="0.2">
      <c r="A6" s="1" t="s">
        <v>249</v>
      </c>
      <c r="B6" s="1">
        <v>47892.705000000002</v>
      </c>
    </row>
    <row r="7" spans="1:6" x14ac:dyDescent="0.2">
      <c r="A7" s="1" t="s">
        <v>250</v>
      </c>
      <c r="B7" s="1">
        <v>0.37549399999999999</v>
      </c>
    </row>
    <row r="10" spans="1:6" x14ac:dyDescent="0.2">
      <c r="A10" s="3" t="s">
        <v>251</v>
      </c>
      <c r="B10" s="3" t="s">
        <v>252</v>
      </c>
      <c r="C10" s="3" t="s">
        <v>36</v>
      </c>
      <c r="D10" s="3"/>
      <c r="E10" s="3" t="s">
        <v>253</v>
      </c>
      <c r="F10" s="3" t="s">
        <v>254</v>
      </c>
    </row>
    <row r="11" spans="1:6" x14ac:dyDescent="0.2">
      <c r="A11" s="1">
        <v>47892.882429999998</v>
      </c>
      <c r="B11" s="1">
        <v>10.859500000000001</v>
      </c>
      <c r="C11" s="1">
        <v>4.8000000000000001E-2</v>
      </c>
      <c r="D11" s="1">
        <v>2</v>
      </c>
      <c r="E11" s="1">
        <f>+(A11-B$6)/B$7-INT((A11-B$6)/B$7)</f>
        <v>0.47252419478365326</v>
      </c>
      <c r="F11" s="1">
        <f>-B11</f>
        <v>-10.859500000000001</v>
      </c>
    </row>
    <row r="12" spans="1:6" x14ac:dyDescent="0.2">
      <c r="A12" s="1">
        <v>48800.830610000005</v>
      </c>
      <c r="B12" s="1">
        <v>10.850099999999999</v>
      </c>
      <c r="C12" s="1">
        <v>2.7E-2</v>
      </c>
      <c r="D12" s="1">
        <v>0</v>
      </c>
      <c r="E12" s="1">
        <f t="shared" ref="E12:E75" si="0">+(A12-B$6)/B$7-INT((A12-B$6)/B$7)</f>
        <v>0.48234592297831114</v>
      </c>
      <c r="F12" s="1">
        <f t="shared" ref="F12:F75" si="1">-B12</f>
        <v>-10.850099999999999</v>
      </c>
    </row>
    <row r="13" spans="1:6" x14ac:dyDescent="0.2">
      <c r="A13" s="1">
        <v>48800.652849999999</v>
      </c>
      <c r="B13" s="1">
        <v>10.8421</v>
      </c>
      <c r="C13" s="1">
        <v>3.3000000000000002E-2</v>
      </c>
      <c r="D13" s="1">
        <v>0</v>
      </c>
      <c r="E13" s="1">
        <f t="shared" si="0"/>
        <v>8.9428858964311075E-3</v>
      </c>
      <c r="F13" s="1">
        <f t="shared" si="1"/>
        <v>-10.8421</v>
      </c>
    </row>
    <row r="14" spans="1:6" x14ac:dyDescent="0.2">
      <c r="A14" s="1">
        <v>48800.667170000001</v>
      </c>
      <c r="B14" s="1">
        <v>10.839399999999999</v>
      </c>
      <c r="C14" s="1">
        <v>3.2000000000000001E-2</v>
      </c>
      <c r="D14" s="1">
        <v>0</v>
      </c>
      <c r="E14" s="1">
        <f t="shared" si="0"/>
        <v>4.7079314180336951E-2</v>
      </c>
      <c r="F14" s="1">
        <f t="shared" si="1"/>
        <v>-10.839399999999999</v>
      </c>
    </row>
    <row r="15" spans="1:6" x14ac:dyDescent="0.2">
      <c r="A15" s="1">
        <v>48218.062429999998</v>
      </c>
      <c r="B15" s="1">
        <v>10.807700000000001</v>
      </c>
      <c r="C15" s="1">
        <v>2.5000000000000001E-2</v>
      </c>
      <c r="D15" s="1">
        <v>0</v>
      </c>
      <c r="E15" s="1">
        <f t="shared" si="0"/>
        <v>0.47837249062934006</v>
      </c>
      <c r="F15" s="1">
        <f t="shared" si="1"/>
        <v>-10.807700000000001</v>
      </c>
    </row>
    <row r="16" spans="1:6" x14ac:dyDescent="0.2">
      <c r="A16" s="1">
        <v>48240.989759999997</v>
      </c>
      <c r="B16" s="1">
        <v>10.801299999999999</v>
      </c>
      <c r="C16" s="1">
        <v>2.8000000000000001E-2</v>
      </c>
      <c r="D16" s="1">
        <v>0</v>
      </c>
      <c r="E16" s="1">
        <f t="shared" si="0"/>
        <v>0.53748395445734332</v>
      </c>
      <c r="F16" s="1">
        <f t="shared" si="1"/>
        <v>-10.801299999999999</v>
      </c>
    </row>
    <row r="17" spans="1:6" x14ac:dyDescent="0.2">
      <c r="A17" s="1">
        <v>48587.550470000002</v>
      </c>
      <c r="B17" s="1">
        <v>10.8012</v>
      </c>
      <c r="C17" s="1">
        <v>2.8000000000000001E-2</v>
      </c>
      <c r="D17" s="1">
        <v>0</v>
      </c>
      <c r="E17" s="1">
        <f t="shared" si="0"/>
        <v>0.48354967056798159</v>
      </c>
      <c r="F17" s="1">
        <f t="shared" si="1"/>
        <v>-10.8012</v>
      </c>
    </row>
    <row r="18" spans="1:6" x14ac:dyDescent="0.2">
      <c r="A18" s="1">
        <v>47986.604769999998</v>
      </c>
      <c r="B18" s="1">
        <v>10.7951</v>
      </c>
      <c r="C18" s="1">
        <v>3.4000000000000002E-2</v>
      </c>
      <c r="D18" s="1">
        <v>18</v>
      </c>
      <c r="E18" s="1">
        <f t="shared" si="0"/>
        <v>6.9961171140818124E-2</v>
      </c>
      <c r="F18" s="1">
        <f t="shared" si="1"/>
        <v>-10.7951</v>
      </c>
    </row>
    <row r="19" spans="1:6" x14ac:dyDescent="0.2">
      <c r="A19" s="1">
        <v>48540.79234</v>
      </c>
      <c r="B19" s="1">
        <v>10.7943</v>
      </c>
      <c r="C19" s="1">
        <v>3.3000000000000002E-2</v>
      </c>
      <c r="D19" s="1">
        <v>0</v>
      </c>
      <c r="E19" s="1">
        <f t="shared" si="0"/>
        <v>0.95924302385196825</v>
      </c>
      <c r="F19" s="1">
        <f t="shared" si="1"/>
        <v>-10.7943</v>
      </c>
    </row>
    <row r="20" spans="1:6" x14ac:dyDescent="0.2">
      <c r="A20" s="1">
        <v>48218.07675</v>
      </c>
      <c r="B20" s="1">
        <v>10.7874</v>
      </c>
      <c r="C20" s="1">
        <v>2.5999999999999999E-2</v>
      </c>
      <c r="D20" s="1">
        <v>0</v>
      </c>
      <c r="E20" s="1">
        <f t="shared" si="0"/>
        <v>0.51650891891335959</v>
      </c>
      <c r="F20" s="1">
        <f t="shared" si="1"/>
        <v>-10.7874</v>
      </c>
    </row>
    <row r="21" spans="1:6" x14ac:dyDescent="0.2">
      <c r="A21" s="1">
        <v>47986.590470000003</v>
      </c>
      <c r="B21" s="1">
        <v>10.7798</v>
      </c>
      <c r="C21" s="1">
        <v>2.7E-2</v>
      </c>
      <c r="D21" s="1">
        <v>0</v>
      </c>
      <c r="E21" s="1">
        <f t="shared" si="0"/>
        <v>3.187800604291624E-2</v>
      </c>
      <c r="F21" s="1">
        <f t="shared" si="1"/>
        <v>-10.7798</v>
      </c>
    </row>
    <row r="22" spans="1:6" x14ac:dyDescent="0.2">
      <c r="A22" s="1">
        <v>48621.564270000003</v>
      </c>
      <c r="B22" s="1">
        <v>10.774900000000001</v>
      </c>
      <c r="C22" s="1">
        <v>2.8000000000000001E-2</v>
      </c>
      <c r="D22" s="1">
        <v>0</v>
      </c>
      <c r="E22" s="1">
        <f t="shared" si="0"/>
        <v>6.7686833879861297E-2</v>
      </c>
      <c r="F22" s="1">
        <f t="shared" si="1"/>
        <v>-10.774900000000001</v>
      </c>
    </row>
    <row r="23" spans="1:6" x14ac:dyDescent="0.2">
      <c r="A23" s="1">
        <v>48800.844940000003</v>
      </c>
      <c r="B23" s="1">
        <v>10.770099999999999</v>
      </c>
      <c r="C23" s="1">
        <v>3.2000000000000001E-2</v>
      </c>
      <c r="D23" s="1">
        <v>2</v>
      </c>
      <c r="E23" s="1">
        <f t="shared" si="0"/>
        <v>0.52050898283596325</v>
      </c>
      <c r="F23" s="1">
        <f t="shared" si="1"/>
        <v>-10.770099999999999</v>
      </c>
    </row>
    <row r="24" spans="1:6" x14ac:dyDescent="0.2">
      <c r="A24" s="1">
        <v>47892.89675</v>
      </c>
      <c r="B24" s="1">
        <v>10.7691</v>
      </c>
      <c r="C24" s="1">
        <v>3.6999999999999998E-2</v>
      </c>
      <c r="D24" s="1">
        <v>2</v>
      </c>
      <c r="E24" s="1">
        <f t="shared" si="0"/>
        <v>0.51066062306757865</v>
      </c>
      <c r="F24" s="1">
        <f t="shared" si="1"/>
        <v>-10.7691</v>
      </c>
    </row>
    <row r="25" spans="1:6" x14ac:dyDescent="0.2">
      <c r="A25" s="1">
        <v>47985.093760000003</v>
      </c>
      <c r="B25" s="1">
        <v>10.7683</v>
      </c>
      <c r="C25" s="1">
        <v>3.2000000000000001E-2</v>
      </c>
      <c r="D25" s="1">
        <v>0</v>
      </c>
      <c r="E25" s="1">
        <f t="shared" si="0"/>
        <v>4.5902198175298281E-2</v>
      </c>
      <c r="F25" s="1">
        <f t="shared" si="1"/>
        <v>-10.7683</v>
      </c>
    </row>
    <row r="26" spans="1:6" x14ac:dyDescent="0.2">
      <c r="A26" s="1">
        <v>48587.536160000003</v>
      </c>
      <c r="B26" s="1">
        <v>10.767899999999999</v>
      </c>
      <c r="C26" s="1">
        <v>2.7E-2</v>
      </c>
      <c r="D26" s="1">
        <v>0</v>
      </c>
      <c r="E26" s="1">
        <f t="shared" si="0"/>
        <v>0.44543987387692141</v>
      </c>
      <c r="F26" s="1">
        <f t="shared" si="1"/>
        <v>-10.767899999999999</v>
      </c>
    </row>
    <row r="27" spans="1:6" x14ac:dyDescent="0.2">
      <c r="A27" s="1">
        <v>48075.781539999996</v>
      </c>
      <c r="B27" s="1">
        <v>10.7674</v>
      </c>
      <c r="C27" s="1">
        <v>2.4E-2</v>
      </c>
      <c r="D27" s="1">
        <v>0</v>
      </c>
      <c r="E27" s="1">
        <f t="shared" si="0"/>
        <v>0.56182522222610487</v>
      </c>
      <c r="F27" s="1">
        <f t="shared" si="1"/>
        <v>-10.7674</v>
      </c>
    </row>
    <row r="28" spans="1:6" x14ac:dyDescent="0.2">
      <c r="A28" s="1">
        <v>47985.982600000003</v>
      </c>
      <c r="B28" s="1">
        <v>10.763999999999999</v>
      </c>
      <c r="C28" s="1">
        <v>2.5999999999999999E-2</v>
      </c>
      <c r="D28" s="1">
        <v>0</v>
      </c>
      <c r="E28" s="1">
        <f t="shared" si="0"/>
        <v>0.4130239098394668</v>
      </c>
      <c r="F28" s="1">
        <f t="shared" si="1"/>
        <v>-10.763999999999999</v>
      </c>
    </row>
    <row r="29" spans="1:6" x14ac:dyDescent="0.2">
      <c r="A29" s="1">
        <v>48556.361380000002</v>
      </c>
      <c r="B29" s="1">
        <v>10.7629</v>
      </c>
      <c r="C29" s="1">
        <v>2.7E-2</v>
      </c>
      <c r="D29" s="1">
        <v>0</v>
      </c>
      <c r="E29" s="1">
        <f t="shared" si="0"/>
        <v>0.42206266944435811</v>
      </c>
      <c r="F29" s="1">
        <f t="shared" si="1"/>
        <v>-10.7629</v>
      </c>
    </row>
    <row r="30" spans="1:6" x14ac:dyDescent="0.2">
      <c r="A30" s="1">
        <v>48055.27708</v>
      </c>
      <c r="B30" s="1">
        <v>10.761900000000001</v>
      </c>
      <c r="C30" s="1">
        <v>2.7E-2</v>
      </c>
      <c r="D30" s="1">
        <v>0</v>
      </c>
      <c r="E30" s="1">
        <f t="shared" si="0"/>
        <v>0.95520034940130927</v>
      </c>
      <c r="F30" s="1">
        <f t="shared" si="1"/>
        <v>-10.761900000000001</v>
      </c>
    </row>
    <row r="31" spans="1:6" x14ac:dyDescent="0.2">
      <c r="A31" s="1">
        <v>47986.412709999997</v>
      </c>
      <c r="B31" s="1">
        <v>10.7615</v>
      </c>
      <c r="C31" s="1">
        <v>0.03</v>
      </c>
      <c r="D31" s="1">
        <v>16</v>
      </c>
      <c r="E31" s="1">
        <f t="shared" si="0"/>
        <v>0.55847496896123516</v>
      </c>
      <c r="F31" s="1">
        <f t="shared" si="1"/>
        <v>-10.7615</v>
      </c>
    </row>
    <row r="32" spans="1:6" x14ac:dyDescent="0.2">
      <c r="A32" s="1">
        <v>47983.390650000001</v>
      </c>
      <c r="B32" s="1">
        <v>10.7585</v>
      </c>
      <c r="C32" s="1">
        <v>0.03</v>
      </c>
      <c r="D32" s="1">
        <v>0</v>
      </c>
      <c r="E32" s="1">
        <f t="shared" si="0"/>
        <v>0.51025049667754274</v>
      </c>
      <c r="F32" s="1">
        <f t="shared" si="1"/>
        <v>-10.7585</v>
      </c>
    </row>
    <row r="33" spans="1:6" x14ac:dyDescent="0.2">
      <c r="A33" s="1">
        <v>48372.186379999999</v>
      </c>
      <c r="B33" s="1">
        <v>10.7583</v>
      </c>
      <c r="C33" s="1">
        <v>0.04</v>
      </c>
      <c r="D33" s="1">
        <v>0</v>
      </c>
      <c r="E33" s="1">
        <f t="shared" si="0"/>
        <v>0.93486447186228361</v>
      </c>
      <c r="F33" s="1">
        <f t="shared" si="1"/>
        <v>-10.7583</v>
      </c>
    </row>
    <row r="34" spans="1:6" x14ac:dyDescent="0.2">
      <c r="A34" s="1">
        <v>48541.162239999998</v>
      </c>
      <c r="B34" s="1">
        <v>10.7559</v>
      </c>
      <c r="C34" s="1">
        <v>0.03</v>
      </c>
      <c r="D34" s="1">
        <v>0</v>
      </c>
      <c r="E34" s="1">
        <f t="shared" si="0"/>
        <v>0.94434531576030167</v>
      </c>
      <c r="F34" s="1">
        <f t="shared" si="1"/>
        <v>-10.7559</v>
      </c>
    </row>
    <row r="35" spans="1:6" x14ac:dyDescent="0.2">
      <c r="A35" s="1">
        <v>47985.079460000001</v>
      </c>
      <c r="B35" s="1">
        <v>10.7554</v>
      </c>
      <c r="C35" s="1">
        <v>3.5999999999999997E-2</v>
      </c>
      <c r="D35" s="1">
        <v>0</v>
      </c>
      <c r="E35" s="1">
        <f t="shared" si="0"/>
        <v>7.8190330580412137E-3</v>
      </c>
      <c r="F35" s="1">
        <f t="shared" si="1"/>
        <v>-10.7554</v>
      </c>
    </row>
    <row r="36" spans="1:6" x14ac:dyDescent="0.2">
      <c r="A36" s="1">
        <v>48631.341910000003</v>
      </c>
      <c r="B36" s="1">
        <v>10.750299999999999</v>
      </c>
      <c r="C36" s="1">
        <v>3.5999999999999997E-2</v>
      </c>
      <c r="D36" s="1">
        <v>0</v>
      </c>
      <c r="E36" s="1">
        <f t="shared" si="0"/>
        <v>0.10709092555703137</v>
      </c>
      <c r="F36" s="1">
        <f t="shared" si="1"/>
        <v>-10.750299999999999</v>
      </c>
    </row>
    <row r="37" spans="1:6" x14ac:dyDescent="0.2">
      <c r="A37" s="1">
        <v>48372.200709999997</v>
      </c>
      <c r="B37" s="1">
        <v>10.7464</v>
      </c>
      <c r="C37" s="1">
        <v>4.7E-2</v>
      </c>
      <c r="D37" s="1">
        <v>0</v>
      </c>
      <c r="E37" s="1">
        <f t="shared" si="0"/>
        <v>0.97302753171993572</v>
      </c>
      <c r="F37" s="1">
        <f t="shared" si="1"/>
        <v>-10.7464</v>
      </c>
    </row>
    <row r="38" spans="1:6" x14ac:dyDescent="0.2">
      <c r="A38" s="1">
        <v>47983.938280000002</v>
      </c>
      <c r="B38" s="1">
        <v>10.7438</v>
      </c>
      <c r="C38" s="1">
        <v>2.8000000000000001E-2</v>
      </c>
      <c r="D38" s="1">
        <v>0</v>
      </c>
      <c r="E38" s="1">
        <f t="shared" si="0"/>
        <v>0.96867593090803439</v>
      </c>
      <c r="F38" s="1">
        <f t="shared" si="1"/>
        <v>-10.7438</v>
      </c>
    </row>
    <row r="39" spans="1:6" x14ac:dyDescent="0.2">
      <c r="A39" s="1">
        <v>47985.627079999998</v>
      </c>
      <c r="B39" s="1">
        <v>10.737399999999999</v>
      </c>
      <c r="C39" s="1">
        <v>2.8000000000000001E-2</v>
      </c>
      <c r="D39" s="1">
        <v>0</v>
      </c>
      <c r="E39" s="1">
        <f t="shared" si="0"/>
        <v>0.46621783569548825</v>
      </c>
      <c r="F39" s="1">
        <f t="shared" si="1"/>
        <v>-10.737399999999999</v>
      </c>
    </row>
    <row r="40" spans="1:6" x14ac:dyDescent="0.2">
      <c r="A40" s="1">
        <v>48540.806649999999</v>
      </c>
      <c r="B40" s="1">
        <v>10.735200000000001</v>
      </c>
      <c r="C40" s="1">
        <v>3.5000000000000003E-2</v>
      </c>
      <c r="D40" s="1">
        <v>0</v>
      </c>
      <c r="E40" s="1">
        <f t="shared" si="0"/>
        <v>0.99735282054280106</v>
      </c>
      <c r="F40" s="1">
        <f t="shared" si="1"/>
        <v>-10.735200000000001</v>
      </c>
    </row>
    <row r="41" spans="1:6" x14ac:dyDescent="0.2">
      <c r="A41" s="1">
        <v>48556.613769999996</v>
      </c>
      <c r="B41" s="1">
        <v>10.734299999999999</v>
      </c>
      <c r="C41" s="1">
        <v>3.5000000000000003E-2</v>
      </c>
      <c r="D41" s="1">
        <v>0</v>
      </c>
      <c r="E41" s="1">
        <f t="shared" si="0"/>
        <v>9.4217217837240241E-2</v>
      </c>
      <c r="F41" s="1">
        <f t="shared" si="1"/>
        <v>-10.734299999999999</v>
      </c>
    </row>
    <row r="42" spans="1:6" x14ac:dyDescent="0.2">
      <c r="A42" s="1">
        <v>47984.293830000002</v>
      </c>
      <c r="B42" s="1">
        <v>10.725899999999999</v>
      </c>
      <c r="C42" s="1">
        <v>2.9000000000000001E-2</v>
      </c>
      <c r="D42" s="1">
        <v>0</v>
      </c>
      <c r="E42" s="1">
        <f t="shared" si="0"/>
        <v>0.91556189979226588</v>
      </c>
      <c r="F42" s="1">
        <f t="shared" si="1"/>
        <v>-10.725899999999999</v>
      </c>
    </row>
    <row r="43" spans="1:6" x14ac:dyDescent="0.2">
      <c r="A43" s="1">
        <v>47985.612739999997</v>
      </c>
      <c r="B43" s="1">
        <v>10.7224</v>
      </c>
      <c r="C43" s="1">
        <v>2.5000000000000001E-2</v>
      </c>
      <c r="D43" s="1">
        <v>0</v>
      </c>
      <c r="E43" s="1">
        <f t="shared" si="0"/>
        <v>0.42802814424493363</v>
      </c>
      <c r="F43" s="1">
        <f t="shared" si="1"/>
        <v>-10.7224</v>
      </c>
    </row>
    <row r="44" spans="1:6" x14ac:dyDescent="0.2">
      <c r="A44" s="1">
        <v>48731.905419999996</v>
      </c>
      <c r="B44" s="1">
        <v>10.722300000000001</v>
      </c>
      <c r="C44" s="1">
        <v>2.8000000000000001E-2</v>
      </c>
      <c r="D44" s="1">
        <v>0</v>
      </c>
      <c r="E44" s="1">
        <f t="shared" si="0"/>
        <v>0.92364724867456971</v>
      </c>
      <c r="F44" s="1">
        <f t="shared" si="1"/>
        <v>-10.722300000000001</v>
      </c>
    </row>
    <row r="45" spans="1:6" x14ac:dyDescent="0.2">
      <c r="A45" s="1">
        <v>48934.770969999998</v>
      </c>
      <c r="B45" s="1">
        <v>10.722099999999999</v>
      </c>
      <c r="C45" s="1">
        <v>3.5000000000000003E-2</v>
      </c>
      <c r="D45" s="1">
        <v>0</v>
      </c>
      <c r="E45" s="1">
        <f t="shared" si="0"/>
        <v>0.18674066695075453</v>
      </c>
      <c r="F45" s="1">
        <f t="shared" si="1"/>
        <v>-10.722099999999999</v>
      </c>
    </row>
    <row r="46" spans="1:6" x14ac:dyDescent="0.2">
      <c r="A46" s="1">
        <v>48766.63985</v>
      </c>
      <c r="B46" s="1">
        <v>10.7195</v>
      </c>
      <c r="C46" s="1">
        <v>2.7E-2</v>
      </c>
      <c r="D46" s="1">
        <v>0</v>
      </c>
      <c r="E46" s="1">
        <f t="shared" si="0"/>
        <v>0.42693624930825536</v>
      </c>
      <c r="F46" s="1">
        <f t="shared" si="1"/>
        <v>-10.7195</v>
      </c>
    </row>
    <row r="47" spans="1:6" x14ac:dyDescent="0.2">
      <c r="A47" s="1">
        <v>48241.004079999999</v>
      </c>
      <c r="B47" s="1">
        <v>10.719099999999999</v>
      </c>
      <c r="C47" s="1">
        <v>3.5999999999999997E-2</v>
      </c>
      <c r="D47" s="1">
        <v>1</v>
      </c>
      <c r="E47" s="1">
        <f t="shared" si="0"/>
        <v>0.57562038274124916</v>
      </c>
      <c r="F47" s="1">
        <f t="shared" si="1"/>
        <v>-10.719099999999999</v>
      </c>
    </row>
    <row r="48" spans="1:6" x14ac:dyDescent="0.2">
      <c r="A48" s="1">
        <v>48540.970150000001</v>
      </c>
      <c r="B48" s="1">
        <v>10.7171</v>
      </c>
      <c r="C48" s="1">
        <v>4.8000000000000001E-2</v>
      </c>
      <c r="D48" s="1">
        <v>26</v>
      </c>
      <c r="E48" s="1">
        <f t="shared" si="0"/>
        <v>0.43277921884055104</v>
      </c>
      <c r="F48" s="1">
        <f t="shared" si="1"/>
        <v>-10.7171</v>
      </c>
    </row>
    <row r="49" spans="1:6" x14ac:dyDescent="0.2">
      <c r="A49" s="1">
        <v>48731.994330000001</v>
      </c>
      <c r="B49" s="1">
        <v>10.715299999999999</v>
      </c>
      <c r="C49" s="1">
        <v>2.5000000000000001E-2</v>
      </c>
      <c r="D49" s="1">
        <v>0</v>
      </c>
      <c r="E49" s="1">
        <f t="shared" si="0"/>
        <v>0.16042866197494732</v>
      </c>
      <c r="F49" s="1">
        <f t="shared" si="1"/>
        <v>-10.715299999999999</v>
      </c>
    </row>
    <row r="50" spans="1:6" x14ac:dyDescent="0.2">
      <c r="A50" s="1">
        <v>48421.424429999999</v>
      </c>
      <c r="B50" s="1">
        <v>10.711600000000001</v>
      </c>
      <c r="C50" s="1">
        <v>0.03</v>
      </c>
      <c r="D50" s="1">
        <v>0</v>
      </c>
      <c r="E50" s="1">
        <f t="shared" si="0"/>
        <v>6.3590896252435414E-2</v>
      </c>
      <c r="F50" s="1">
        <f t="shared" si="1"/>
        <v>-10.711600000000001</v>
      </c>
    </row>
    <row r="51" spans="1:6" x14ac:dyDescent="0.2">
      <c r="A51" s="1">
        <v>48556.524870000001</v>
      </c>
      <c r="B51" s="1">
        <v>10.705299999999999</v>
      </c>
      <c r="C51" s="1">
        <v>3.1E-2</v>
      </c>
      <c r="D51" s="1">
        <v>0</v>
      </c>
      <c r="E51" s="1">
        <f t="shared" si="0"/>
        <v>0.85746243614903506</v>
      </c>
      <c r="F51" s="1">
        <f t="shared" si="1"/>
        <v>-10.705299999999999</v>
      </c>
    </row>
    <row r="52" spans="1:6" x14ac:dyDescent="0.2">
      <c r="A52" s="1">
        <v>47983.404970000003</v>
      </c>
      <c r="B52" s="1">
        <v>10.705</v>
      </c>
      <c r="C52" s="1">
        <v>2.5000000000000001E-2</v>
      </c>
      <c r="D52" s="1">
        <v>0</v>
      </c>
      <c r="E52" s="1">
        <f t="shared" si="0"/>
        <v>0.54838692496147701</v>
      </c>
      <c r="F52" s="1">
        <f t="shared" si="1"/>
        <v>-10.705</v>
      </c>
    </row>
    <row r="53" spans="1:6" x14ac:dyDescent="0.2">
      <c r="A53" s="1">
        <v>48621.578580000001</v>
      </c>
      <c r="B53" s="1">
        <v>10.7027</v>
      </c>
      <c r="C53" s="1">
        <v>3.2000000000000001E-2</v>
      </c>
      <c r="D53" s="1">
        <v>0</v>
      </c>
      <c r="E53" s="1">
        <f t="shared" si="0"/>
        <v>0.10579663057069411</v>
      </c>
      <c r="F53" s="1">
        <f t="shared" si="1"/>
        <v>-10.7027</v>
      </c>
    </row>
    <row r="54" spans="1:6" x14ac:dyDescent="0.2">
      <c r="A54" s="1">
        <v>47984.27951</v>
      </c>
      <c r="B54" s="1">
        <v>10.7019</v>
      </c>
      <c r="C54" s="1">
        <v>3.4000000000000002E-2</v>
      </c>
      <c r="D54" s="1">
        <v>0</v>
      </c>
      <c r="E54" s="1">
        <f t="shared" si="0"/>
        <v>0.87742547150836003</v>
      </c>
      <c r="F54" s="1">
        <f t="shared" si="1"/>
        <v>-10.7019</v>
      </c>
    </row>
    <row r="55" spans="1:6" x14ac:dyDescent="0.2">
      <c r="A55" s="1">
        <v>48731.98</v>
      </c>
      <c r="B55" s="1">
        <v>10.7013</v>
      </c>
      <c r="C55" s="1">
        <v>3.4000000000000002E-2</v>
      </c>
      <c r="D55" s="1">
        <v>0</v>
      </c>
      <c r="E55" s="1">
        <f t="shared" si="0"/>
        <v>0.1222656021172952</v>
      </c>
      <c r="F55" s="1">
        <f t="shared" si="1"/>
        <v>-10.7013</v>
      </c>
    </row>
    <row r="56" spans="1:6" x14ac:dyDescent="0.2">
      <c r="A56" s="1">
        <v>48556.347089999996</v>
      </c>
      <c r="B56" s="1">
        <v>10.699299999999999</v>
      </c>
      <c r="C56" s="1">
        <v>2.9000000000000001E-2</v>
      </c>
      <c r="D56" s="1">
        <v>0</v>
      </c>
      <c r="E56" s="1">
        <f t="shared" si="0"/>
        <v>0.38400613590079047</v>
      </c>
      <c r="F56" s="1">
        <f t="shared" si="1"/>
        <v>-10.699299999999999</v>
      </c>
    </row>
    <row r="57" spans="1:6" x14ac:dyDescent="0.2">
      <c r="A57" s="1">
        <v>48055.262770000001</v>
      </c>
      <c r="B57" s="1">
        <v>10.6953</v>
      </c>
      <c r="C57" s="1">
        <v>2.8000000000000001E-2</v>
      </c>
      <c r="D57" s="1">
        <v>0</v>
      </c>
      <c r="E57" s="1">
        <f t="shared" si="0"/>
        <v>0.91709055271041962</v>
      </c>
      <c r="F57" s="1">
        <f t="shared" si="1"/>
        <v>-10.6953</v>
      </c>
    </row>
    <row r="58" spans="1:6" x14ac:dyDescent="0.2">
      <c r="A58" s="1">
        <v>48075.603770000002</v>
      </c>
      <c r="B58" s="1">
        <v>10.6929</v>
      </c>
      <c r="C58" s="1">
        <v>2.7E-2</v>
      </c>
      <c r="D58" s="1">
        <v>0</v>
      </c>
      <c r="E58" s="1">
        <f t="shared" si="0"/>
        <v>8.8395553590146392E-2</v>
      </c>
      <c r="F58" s="1">
        <f t="shared" si="1"/>
        <v>-10.6929</v>
      </c>
    </row>
    <row r="59" spans="1:6" x14ac:dyDescent="0.2">
      <c r="A59" s="1">
        <v>48631.253020000004</v>
      </c>
      <c r="B59" s="1">
        <v>10.6912</v>
      </c>
      <c r="C59" s="1">
        <v>4.7E-2</v>
      </c>
      <c r="D59" s="1">
        <v>2</v>
      </c>
      <c r="E59" s="1">
        <f t="shared" si="0"/>
        <v>0.87036277544257246</v>
      </c>
      <c r="F59" s="1">
        <f t="shared" si="1"/>
        <v>-10.6912</v>
      </c>
    </row>
    <row r="60" spans="1:6" x14ac:dyDescent="0.2">
      <c r="A60" s="1">
        <v>48621.489679999999</v>
      </c>
      <c r="B60" s="1">
        <v>10.6907</v>
      </c>
      <c r="C60" s="1">
        <v>0.03</v>
      </c>
      <c r="D60" s="1">
        <v>0</v>
      </c>
      <c r="E60" s="1">
        <f t="shared" si="0"/>
        <v>0.86904184886316216</v>
      </c>
      <c r="F60" s="1">
        <f t="shared" si="1"/>
        <v>-10.6907</v>
      </c>
    </row>
    <row r="61" spans="1:6" x14ac:dyDescent="0.2">
      <c r="A61" s="1">
        <v>48800.578300000001</v>
      </c>
      <c r="B61" s="1">
        <v>10.6883</v>
      </c>
      <c r="C61" s="1">
        <v>3.1E-2</v>
      </c>
      <c r="D61" s="1">
        <v>0</v>
      </c>
      <c r="E61" s="1">
        <f t="shared" si="0"/>
        <v>0.81040442723269734</v>
      </c>
      <c r="F61" s="1">
        <f t="shared" si="1"/>
        <v>-10.6883</v>
      </c>
    </row>
    <row r="62" spans="1:6" x14ac:dyDescent="0.2">
      <c r="A62" s="1">
        <v>47984.546139999999</v>
      </c>
      <c r="B62" s="1">
        <v>10.686199999999999</v>
      </c>
      <c r="C62" s="1">
        <v>2.5000000000000001E-2</v>
      </c>
      <c r="D62" s="1">
        <v>0</v>
      </c>
      <c r="E62" s="1">
        <f t="shared" si="0"/>
        <v>0.58750339551846764</v>
      </c>
      <c r="F62" s="1">
        <f t="shared" si="1"/>
        <v>-10.686199999999999</v>
      </c>
    </row>
    <row r="63" spans="1:6" x14ac:dyDescent="0.2">
      <c r="A63" s="1">
        <v>47986.427009999999</v>
      </c>
      <c r="B63" s="1">
        <v>10.684100000000001</v>
      </c>
      <c r="C63" s="1">
        <v>2.8000000000000001E-2</v>
      </c>
      <c r="D63" s="1">
        <v>0</v>
      </c>
      <c r="E63" s="1">
        <f t="shared" si="0"/>
        <v>0.59655813407852065</v>
      </c>
      <c r="F63" s="1">
        <f t="shared" si="1"/>
        <v>-10.684100000000001</v>
      </c>
    </row>
    <row r="64" spans="1:6" x14ac:dyDescent="0.2">
      <c r="A64" s="1">
        <v>48631.267350000002</v>
      </c>
      <c r="B64" s="1">
        <v>10.683299999999999</v>
      </c>
      <c r="C64" s="1">
        <v>3.6999999999999998E-2</v>
      </c>
      <c r="D64" s="1">
        <v>0</v>
      </c>
      <c r="E64" s="1">
        <f t="shared" si="0"/>
        <v>0.9085258352999972</v>
      </c>
      <c r="F64" s="1">
        <f t="shared" si="1"/>
        <v>-10.683299999999999</v>
      </c>
    </row>
    <row r="65" spans="1:6" x14ac:dyDescent="0.2">
      <c r="A65" s="1">
        <v>47986.05717</v>
      </c>
      <c r="B65" s="1">
        <v>10.681800000000001</v>
      </c>
      <c r="C65" s="1">
        <v>3.3000000000000002E-2</v>
      </c>
      <c r="D65" s="1">
        <v>2</v>
      </c>
      <c r="E65" s="1">
        <f t="shared" si="0"/>
        <v>0.61161563166999144</v>
      </c>
      <c r="F65" s="1">
        <f t="shared" si="1"/>
        <v>-10.681800000000001</v>
      </c>
    </row>
    <row r="66" spans="1:6" x14ac:dyDescent="0.2">
      <c r="A66" s="1">
        <v>47984.827109999998</v>
      </c>
      <c r="B66" s="1">
        <v>10.6798</v>
      </c>
      <c r="C66" s="1">
        <v>2.9000000000000001E-2</v>
      </c>
      <c r="D66" s="1">
        <v>0</v>
      </c>
      <c r="E66" s="1">
        <f t="shared" si="0"/>
        <v>0.33577101097915829</v>
      </c>
      <c r="F66" s="1">
        <f t="shared" si="1"/>
        <v>-10.6798</v>
      </c>
    </row>
    <row r="67" spans="1:6" x14ac:dyDescent="0.2">
      <c r="A67" s="1">
        <v>48026.032449999999</v>
      </c>
      <c r="B67" s="1">
        <v>10.678800000000001</v>
      </c>
      <c r="C67" s="1">
        <v>3.5000000000000003E-2</v>
      </c>
      <c r="D67" s="1">
        <v>0</v>
      </c>
      <c r="E67" s="1">
        <f t="shared" si="0"/>
        <v>7.2118329446141161E-2</v>
      </c>
      <c r="F67" s="1">
        <f t="shared" si="1"/>
        <v>-10.678800000000001</v>
      </c>
    </row>
    <row r="68" spans="1:6" x14ac:dyDescent="0.2">
      <c r="A68" s="1">
        <v>48075.618069999997</v>
      </c>
      <c r="B68" s="1">
        <v>10.6768</v>
      </c>
      <c r="C68" s="1">
        <v>3.1E-2</v>
      </c>
      <c r="D68" s="1">
        <v>0</v>
      </c>
      <c r="E68" s="1">
        <f t="shared" si="0"/>
        <v>0.1264787186880767</v>
      </c>
      <c r="F68" s="1">
        <f t="shared" si="1"/>
        <v>-10.6768</v>
      </c>
    </row>
    <row r="69" spans="1:6" x14ac:dyDescent="0.2">
      <c r="A69" s="1">
        <v>47984.368390000003</v>
      </c>
      <c r="B69" s="1">
        <v>10.6752</v>
      </c>
      <c r="C69" s="1">
        <v>2.9000000000000001E-2</v>
      </c>
      <c r="D69" s="1">
        <v>0</v>
      </c>
      <c r="E69" s="1">
        <f t="shared" si="0"/>
        <v>0.11412699004918636</v>
      </c>
      <c r="F69" s="1">
        <f t="shared" si="1"/>
        <v>-10.6752</v>
      </c>
    </row>
    <row r="70" spans="1:6" x14ac:dyDescent="0.2">
      <c r="A70" s="1">
        <v>48541.147899999996</v>
      </c>
      <c r="B70" s="1">
        <v>10.6746</v>
      </c>
      <c r="C70" s="1">
        <v>3.5999999999999997E-2</v>
      </c>
      <c r="D70" s="1">
        <v>1</v>
      </c>
      <c r="E70" s="1">
        <f t="shared" si="0"/>
        <v>0.9061556243098039</v>
      </c>
      <c r="F70" s="1">
        <f t="shared" si="1"/>
        <v>-10.6746</v>
      </c>
    </row>
    <row r="71" spans="1:6" x14ac:dyDescent="0.2">
      <c r="A71" s="1">
        <v>48766.625529999998</v>
      </c>
      <c r="B71" s="1">
        <v>10.6732</v>
      </c>
      <c r="C71" s="1">
        <v>2.9000000000000001E-2</v>
      </c>
      <c r="D71" s="1">
        <v>0</v>
      </c>
      <c r="E71" s="1">
        <f t="shared" si="0"/>
        <v>0.38879982102434951</v>
      </c>
      <c r="F71" s="1">
        <f t="shared" si="1"/>
        <v>-10.6732</v>
      </c>
    </row>
    <row r="72" spans="1:6" x14ac:dyDescent="0.2">
      <c r="A72" s="1">
        <v>48540.984420000001</v>
      </c>
      <c r="B72" s="1">
        <v>10.670400000000001</v>
      </c>
      <c r="C72" s="1">
        <v>3.1E-2</v>
      </c>
      <c r="D72" s="1">
        <v>26</v>
      </c>
      <c r="E72" s="1">
        <f t="shared" si="0"/>
        <v>0.47078248919797261</v>
      </c>
      <c r="F72" s="1">
        <f t="shared" si="1"/>
        <v>-10.670400000000001</v>
      </c>
    </row>
    <row r="73" spans="1:6" x14ac:dyDescent="0.2">
      <c r="A73" s="1">
        <v>47985.968260000001</v>
      </c>
      <c r="B73" s="1">
        <v>10.669499999999999</v>
      </c>
      <c r="C73" s="1">
        <v>2.7E-2</v>
      </c>
      <c r="D73" s="1">
        <v>0</v>
      </c>
      <c r="E73" s="1">
        <f t="shared" si="0"/>
        <v>0.37483421838888376</v>
      </c>
      <c r="F73" s="1">
        <f t="shared" si="1"/>
        <v>-10.669499999999999</v>
      </c>
    </row>
    <row r="74" spans="1:6" x14ac:dyDescent="0.2">
      <c r="A74" s="1">
        <v>47984.560460000001</v>
      </c>
      <c r="B74" s="1">
        <v>10.6678</v>
      </c>
      <c r="C74" s="1">
        <v>2.7E-2</v>
      </c>
      <c r="D74" s="1">
        <v>0</v>
      </c>
      <c r="E74" s="1">
        <f t="shared" si="0"/>
        <v>0.62563982380240191</v>
      </c>
      <c r="F74" s="1">
        <f t="shared" si="1"/>
        <v>-10.6678</v>
      </c>
    </row>
    <row r="75" spans="1:6" x14ac:dyDescent="0.2">
      <c r="A75" s="1">
        <v>48556.435969999999</v>
      </c>
      <c r="B75" s="1">
        <v>10.665900000000001</v>
      </c>
      <c r="C75" s="1">
        <v>2.9000000000000001E-2</v>
      </c>
      <c r="D75" s="1">
        <v>0</v>
      </c>
      <c r="E75" s="1">
        <f t="shared" si="0"/>
        <v>0.62070765444150311</v>
      </c>
      <c r="F75" s="1">
        <f t="shared" si="1"/>
        <v>-10.665900000000001</v>
      </c>
    </row>
    <row r="76" spans="1:6" x14ac:dyDescent="0.2">
      <c r="A76" s="1">
        <v>47986.50159</v>
      </c>
      <c r="B76" s="1">
        <v>10.665800000000001</v>
      </c>
      <c r="C76" s="1">
        <v>3.2000000000000001E-2</v>
      </c>
      <c r="D76" s="1">
        <v>2</v>
      </c>
      <c r="E76" s="1">
        <f t="shared" ref="E76:E139" si="2">+(A76-B$6)/B$7-INT((A76-B$6)/B$7)</f>
        <v>0.79517648750208991</v>
      </c>
      <c r="F76" s="1">
        <f t="shared" ref="F76:F139" si="3">-B76</f>
        <v>-10.665800000000001</v>
      </c>
    </row>
    <row r="77" spans="1:6" x14ac:dyDescent="0.2">
      <c r="A77" s="1">
        <v>48372.275240000003</v>
      </c>
      <c r="B77" s="1">
        <v>10.665699999999999</v>
      </c>
      <c r="C77" s="1">
        <v>4.9000000000000002E-2</v>
      </c>
      <c r="D77" s="1">
        <v>0</v>
      </c>
      <c r="E77" s="1">
        <f t="shared" si="2"/>
        <v>0.17151272723640432</v>
      </c>
      <c r="F77" s="1">
        <f t="shared" si="3"/>
        <v>-10.665699999999999</v>
      </c>
    </row>
    <row r="78" spans="1:6" x14ac:dyDescent="0.2">
      <c r="A78" s="1">
        <v>48075.692649999997</v>
      </c>
      <c r="B78" s="1">
        <v>10.6607</v>
      </c>
      <c r="C78" s="1">
        <v>3.2000000000000001E-2</v>
      </c>
      <c r="D78" s="1">
        <v>0</v>
      </c>
      <c r="E78" s="1">
        <f t="shared" si="2"/>
        <v>0.32509707211164596</v>
      </c>
      <c r="F78" s="1">
        <f t="shared" si="3"/>
        <v>-10.6607</v>
      </c>
    </row>
    <row r="79" spans="1:6" x14ac:dyDescent="0.2">
      <c r="A79" s="1">
        <v>48731.891100000001</v>
      </c>
      <c r="B79" s="1">
        <v>10.6591</v>
      </c>
      <c r="C79" s="1">
        <v>2.7E-2</v>
      </c>
      <c r="D79" s="1">
        <v>0</v>
      </c>
      <c r="E79" s="1">
        <f t="shared" si="2"/>
        <v>0.88551082040976326</v>
      </c>
      <c r="F79" s="1">
        <f t="shared" si="3"/>
        <v>-10.6591</v>
      </c>
    </row>
    <row r="80" spans="1:6" x14ac:dyDescent="0.2">
      <c r="A80" s="1">
        <v>47984.723920000004</v>
      </c>
      <c r="B80" s="1">
        <v>10.659000000000001</v>
      </c>
      <c r="C80" s="1">
        <v>3.1E-2</v>
      </c>
      <c r="D80" s="1">
        <v>18</v>
      </c>
      <c r="E80" s="1">
        <f t="shared" si="2"/>
        <v>6.0959695766797495E-2</v>
      </c>
      <c r="F80" s="1">
        <f t="shared" si="3"/>
        <v>-10.659000000000001</v>
      </c>
    </row>
    <row r="81" spans="1:6" x14ac:dyDescent="0.2">
      <c r="A81" s="1">
        <v>48075.795839999999</v>
      </c>
      <c r="B81" s="1">
        <v>10.6585</v>
      </c>
      <c r="C81" s="1">
        <v>2.5999999999999999E-2</v>
      </c>
      <c r="D81" s="1">
        <v>0</v>
      </c>
      <c r="E81" s="1">
        <f t="shared" si="2"/>
        <v>0.59990838734336194</v>
      </c>
      <c r="F81" s="1">
        <f t="shared" si="3"/>
        <v>-10.6585</v>
      </c>
    </row>
    <row r="82" spans="1:6" x14ac:dyDescent="0.2">
      <c r="A82" s="1">
        <v>48055.351649999997</v>
      </c>
      <c r="B82" s="1">
        <v>10.6576</v>
      </c>
      <c r="C82" s="1">
        <v>2.5000000000000001E-2</v>
      </c>
      <c r="D82" s="1">
        <v>0</v>
      </c>
      <c r="E82" s="1">
        <f t="shared" si="2"/>
        <v>0.15379207123186234</v>
      </c>
      <c r="F82" s="1">
        <f t="shared" si="3"/>
        <v>-10.6576</v>
      </c>
    </row>
    <row r="83" spans="1:6" x14ac:dyDescent="0.2">
      <c r="A83" s="1">
        <v>48193.802029999999</v>
      </c>
      <c r="B83" s="1">
        <v>10.6576</v>
      </c>
      <c r="C83" s="1">
        <v>3.2000000000000001E-2</v>
      </c>
      <c r="D83" s="1">
        <v>0</v>
      </c>
      <c r="E83" s="1">
        <f t="shared" si="2"/>
        <v>0.86908445939798185</v>
      </c>
      <c r="F83" s="1">
        <f t="shared" si="3"/>
        <v>-10.6576</v>
      </c>
    </row>
    <row r="84" spans="1:6" x14ac:dyDescent="0.2">
      <c r="A84" s="1">
        <v>48631.356249999997</v>
      </c>
      <c r="B84" s="1">
        <v>10.657500000000001</v>
      </c>
      <c r="C84" s="1">
        <v>4.9000000000000002E-2</v>
      </c>
      <c r="D84" s="1">
        <v>0</v>
      </c>
      <c r="E84" s="1">
        <f t="shared" si="2"/>
        <v>0.14528061698820238</v>
      </c>
      <c r="F84" s="1">
        <f t="shared" si="3"/>
        <v>-10.657500000000001</v>
      </c>
    </row>
    <row r="85" spans="1:6" x14ac:dyDescent="0.2">
      <c r="A85" s="1">
        <v>48240.91519</v>
      </c>
      <c r="B85" s="1">
        <v>10.6557</v>
      </c>
      <c r="C85" s="1">
        <v>2.3E-2</v>
      </c>
      <c r="D85" s="1">
        <v>0</v>
      </c>
      <c r="E85" s="1">
        <f t="shared" si="2"/>
        <v>0.33889223262679025</v>
      </c>
      <c r="F85" s="1">
        <f t="shared" si="3"/>
        <v>-10.6557</v>
      </c>
    </row>
    <row r="86" spans="1:6" x14ac:dyDescent="0.2">
      <c r="A86" s="1">
        <v>48621.47539</v>
      </c>
      <c r="B86" s="1">
        <v>10.6531</v>
      </c>
      <c r="C86" s="1">
        <v>2.5000000000000001E-2</v>
      </c>
      <c r="D86" s="1">
        <v>0</v>
      </c>
      <c r="E86" s="1">
        <f t="shared" si="2"/>
        <v>0.83098531533892128</v>
      </c>
      <c r="F86" s="1">
        <f t="shared" si="3"/>
        <v>-10.6531</v>
      </c>
    </row>
    <row r="87" spans="1:6" x14ac:dyDescent="0.2">
      <c r="A87" s="1">
        <v>47986.14604</v>
      </c>
      <c r="B87" s="1">
        <v>10.6508</v>
      </c>
      <c r="C87" s="1">
        <v>2.5999999999999999E-2</v>
      </c>
      <c r="D87" s="1">
        <v>0</v>
      </c>
      <c r="E87" s="1">
        <f t="shared" si="2"/>
        <v>0.84829051861783</v>
      </c>
      <c r="F87" s="1">
        <f t="shared" si="3"/>
        <v>-10.6508</v>
      </c>
    </row>
    <row r="88" spans="1:6" x14ac:dyDescent="0.2">
      <c r="A88" s="1">
        <v>48720.159769999998</v>
      </c>
      <c r="B88" s="1">
        <v>10.6508</v>
      </c>
      <c r="C88" s="1">
        <v>2.8000000000000001E-2</v>
      </c>
      <c r="D88" s="1">
        <v>0</v>
      </c>
      <c r="E88" s="1">
        <f t="shared" si="2"/>
        <v>0.64312079552973955</v>
      </c>
      <c r="F88" s="1">
        <f t="shared" si="3"/>
        <v>-10.6508</v>
      </c>
    </row>
    <row r="89" spans="1:6" x14ac:dyDescent="0.2">
      <c r="A89" s="1">
        <v>48631.164120000001</v>
      </c>
      <c r="B89" s="1">
        <v>10.650600000000001</v>
      </c>
      <c r="C89" s="1">
        <v>3.4000000000000002E-2</v>
      </c>
      <c r="D89" s="1">
        <v>34</v>
      </c>
      <c r="E89" s="1">
        <f t="shared" si="2"/>
        <v>0.63360799373504051</v>
      </c>
      <c r="F89" s="1">
        <f t="shared" si="3"/>
        <v>-10.650600000000001</v>
      </c>
    </row>
    <row r="90" spans="1:6" x14ac:dyDescent="0.2">
      <c r="A90" s="1">
        <v>48720.440770000001</v>
      </c>
      <c r="B90" s="1">
        <v>10.6456</v>
      </c>
      <c r="C90" s="1">
        <v>1.9E-2</v>
      </c>
      <c r="D90" s="1">
        <v>0</v>
      </c>
      <c r="E90" s="1">
        <f t="shared" si="2"/>
        <v>0.39146830575009517</v>
      </c>
      <c r="F90" s="1">
        <f t="shared" si="3"/>
        <v>-10.6456</v>
      </c>
    </row>
    <row r="91" spans="1:6" x14ac:dyDescent="0.2">
      <c r="A91" s="1">
        <v>48766.55096</v>
      </c>
      <c r="B91" s="1">
        <v>10.6455</v>
      </c>
      <c r="C91" s="1">
        <v>3.2000000000000001E-2</v>
      </c>
      <c r="D91" s="1">
        <v>0</v>
      </c>
      <c r="E91" s="1">
        <f t="shared" si="2"/>
        <v>0.19020809919402382</v>
      </c>
      <c r="F91" s="1">
        <f t="shared" si="3"/>
        <v>-10.6455</v>
      </c>
    </row>
    <row r="92" spans="1:6" x14ac:dyDescent="0.2">
      <c r="A92" s="1">
        <v>47986.515890000002</v>
      </c>
      <c r="B92" s="1">
        <v>10.6404</v>
      </c>
      <c r="C92" s="1">
        <v>2.8000000000000001E-2</v>
      </c>
      <c r="D92" s="1">
        <v>0</v>
      </c>
      <c r="E92" s="1">
        <f t="shared" si="2"/>
        <v>0.8332596526193754</v>
      </c>
      <c r="F92" s="1">
        <f t="shared" si="3"/>
        <v>-10.6404</v>
      </c>
    </row>
    <row r="93" spans="1:6" x14ac:dyDescent="0.2">
      <c r="A93" s="1">
        <v>48766.536650000002</v>
      </c>
      <c r="B93" s="1">
        <v>10.6393</v>
      </c>
      <c r="C93" s="1">
        <v>4.9000000000000002E-2</v>
      </c>
      <c r="D93" s="1">
        <v>0</v>
      </c>
      <c r="E93" s="1">
        <f t="shared" si="2"/>
        <v>0.15209830250296363</v>
      </c>
      <c r="F93" s="1">
        <f t="shared" si="3"/>
        <v>-10.6393</v>
      </c>
    </row>
    <row r="94" spans="1:6" x14ac:dyDescent="0.2">
      <c r="A94" s="1">
        <v>48800.563979999999</v>
      </c>
      <c r="B94" s="1">
        <v>10.6358</v>
      </c>
      <c r="C94" s="1">
        <v>2.7E-2</v>
      </c>
      <c r="D94" s="1">
        <v>0</v>
      </c>
      <c r="E94" s="1">
        <f t="shared" si="2"/>
        <v>0.7722679989487915</v>
      </c>
      <c r="F94" s="1">
        <f t="shared" si="3"/>
        <v>-10.6358</v>
      </c>
    </row>
    <row r="95" spans="1:6" x14ac:dyDescent="0.2">
      <c r="A95" s="1">
        <v>48075.70695</v>
      </c>
      <c r="B95" s="1">
        <v>10.6357</v>
      </c>
      <c r="C95" s="1">
        <v>3.4000000000000002E-2</v>
      </c>
      <c r="D95" s="1">
        <v>0</v>
      </c>
      <c r="E95" s="1">
        <f t="shared" si="2"/>
        <v>0.36318023722890302</v>
      </c>
      <c r="F95" s="1">
        <f t="shared" si="3"/>
        <v>-10.6357</v>
      </c>
    </row>
    <row r="96" spans="1:6" x14ac:dyDescent="0.2">
      <c r="A96" s="1">
        <v>47986.338149999996</v>
      </c>
      <c r="B96" s="1">
        <v>10.6335</v>
      </c>
      <c r="C96" s="1">
        <v>2.5999999999999999E-2</v>
      </c>
      <c r="D96" s="1">
        <v>0</v>
      </c>
      <c r="E96" s="1">
        <f t="shared" si="2"/>
        <v>0.3599098787043431</v>
      </c>
      <c r="F96" s="1">
        <f t="shared" si="3"/>
        <v>-10.6335</v>
      </c>
    </row>
    <row r="97" spans="1:6" x14ac:dyDescent="0.2">
      <c r="A97" s="1">
        <v>48800.741730000002</v>
      </c>
      <c r="B97" s="1">
        <v>10.6332</v>
      </c>
      <c r="C97" s="1">
        <v>2.8000000000000001E-2</v>
      </c>
      <c r="D97" s="1">
        <v>0</v>
      </c>
      <c r="E97" s="1">
        <f t="shared" si="2"/>
        <v>0.24564440443737112</v>
      </c>
      <c r="F97" s="1">
        <f t="shared" si="3"/>
        <v>-10.6332</v>
      </c>
    </row>
    <row r="98" spans="1:6" x14ac:dyDescent="0.2">
      <c r="A98" s="1">
        <v>47985.523880000001</v>
      </c>
      <c r="B98" s="1">
        <v>10.631399999999999</v>
      </c>
      <c r="C98" s="1">
        <v>2.9000000000000001E-2</v>
      </c>
      <c r="D98" s="1">
        <v>0</v>
      </c>
      <c r="E98" s="1">
        <f t="shared" si="2"/>
        <v>0.19137988889011126</v>
      </c>
      <c r="F98" s="1">
        <f t="shared" si="3"/>
        <v>-10.631399999999999</v>
      </c>
    </row>
    <row r="99" spans="1:6" x14ac:dyDescent="0.2">
      <c r="A99" s="1">
        <v>48026.135679999999</v>
      </c>
      <c r="B99" s="1">
        <v>10.6295</v>
      </c>
      <c r="C99" s="1">
        <v>2.5999999999999999E-2</v>
      </c>
      <c r="D99" s="1">
        <v>0</v>
      </c>
      <c r="E99" s="1">
        <f t="shared" si="2"/>
        <v>0.34703617101115469</v>
      </c>
      <c r="F99" s="1">
        <f t="shared" si="3"/>
        <v>-10.6295</v>
      </c>
    </row>
    <row r="100" spans="1:6" x14ac:dyDescent="0.2">
      <c r="A100" s="1">
        <v>48193.713149999996</v>
      </c>
      <c r="B100" s="1">
        <v>10.626300000000001</v>
      </c>
      <c r="C100" s="1">
        <v>0.03</v>
      </c>
      <c r="D100" s="1">
        <v>0</v>
      </c>
      <c r="E100" s="1">
        <f t="shared" si="2"/>
        <v>0.63238294085715552</v>
      </c>
      <c r="F100" s="1">
        <f t="shared" si="3"/>
        <v>-10.626300000000001</v>
      </c>
    </row>
    <row r="101" spans="1:6" x14ac:dyDescent="0.2">
      <c r="A101" s="1">
        <v>47986.323830000001</v>
      </c>
      <c r="B101" s="1">
        <v>10.6234</v>
      </c>
      <c r="C101" s="1">
        <v>0.04</v>
      </c>
      <c r="D101" s="1">
        <v>0</v>
      </c>
      <c r="E101" s="1">
        <f t="shared" si="2"/>
        <v>0.32177345043979244</v>
      </c>
      <c r="F101" s="1">
        <f t="shared" si="3"/>
        <v>-10.6234</v>
      </c>
    </row>
    <row r="102" spans="1:6" x14ac:dyDescent="0.2">
      <c r="A102" s="1">
        <v>48075.870410000003</v>
      </c>
      <c r="B102" s="1">
        <v>10.6227</v>
      </c>
      <c r="C102" s="1">
        <v>2.4E-2</v>
      </c>
      <c r="D102" s="1">
        <v>1</v>
      </c>
      <c r="E102" s="1">
        <f t="shared" si="2"/>
        <v>0.79850010919329861</v>
      </c>
      <c r="F102" s="1">
        <f t="shared" si="3"/>
        <v>-10.6227</v>
      </c>
    </row>
    <row r="103" spans="1:6" x14ac:dyDescent="0.2">
      <c r="A103" s="1">
        <v>48720.351880000002</v>
      </c>
      <c r="B103" s="1">
        <v>10.6189</v>
      </c>
      <c r="C103" s="1">
        <v>2.5000000000000001E-2</v>
      </c>
      <c r="D103" s="1">
        <v>0</v>
      </c>
      <c r="E103" s="1">
        <f t="shared" si="2"/>
        <v>0.15474015563586363</v>
      </c>
      <c r="F103" s="1">
        <f t="shared" si="3"/>
        <v>-10.6189</v>
      </c>
    </row>
    <row r="104" spans="1:6" x14ac:dyDescent="0.2">
      <c r="A104" s="1">
        <v>47984.738239999999</v>
      </c>
      <c r="B104" s="1">
        <v>10.6165</v>
      </c>
      <c r="C104" s="1">
        <v>3.5000000000000003E-2</v>
      </c>
      <c r="D104" s="1">
        <v>2</v>
      </c>
      <c r="E104" s="1">
        <f t="shared" si="2"/>
        <v>9.9096124031348154E-2</v>
      </c>
      <c r="F104" s="1">
        <f t="shared" si="3"/>
        <v>-10.6165</v>
      </c>
    </row>
    <row r="105" spans="1:6" x14ac:dyDescent="0.2">
      <c r="A105" s="1">
        <v>47985.538180000003</v>
      </c>
      <c r="B105" s="1">
        <v>10.616400000000001</v>
      </c>
      <c r="C105" s="1">
        <v>2.5999999999999999E-2</v>
      </c>
      <c r="D105" s="1">
        <v>0</v>
      </c>
      <c r="E105" s="1">
        <f t="shared" si="2"/>
        <v>0.22946305400739675</v>
      </c>
      <c r="F105" s="1">
        <f t="shared" si="3"/>
        <v>-10.616400000000001</v>
      </c>
    </row>
    <row r="106" spans="1:6" x14ac:dyDescent="0.2">
      <c r="A106" s="1">
        <v>48720.17409</v>
      </c>
      <c r="B106" s="1">
        <v>10.616099999999999</v>
      </c>
      <c r="C106" s="1">
        <v>2.5999999999999999E-2</v>
      </c>
      <c r="D106" s="1">
        <v>0</v>
      </c>
      <c r="E106" s="1">
        <f t="shared" si="2"/>
        <v>0.6812572238136454</v>
      </c>
      <c r="F106" s="1">
        <f t="shared" si="3"/>
        <v>-10.616099999999999</v>
      </c>
    </row>
    <row r="107" spans="1:6" x14ac:dyDescent="0.2">
      <c r="A107" s="1">
        <v>48800.756049999996</v>
      </c>
      <c r="B107" s="1">
        <v>10.614800000000001</v>
      </c>
      <c r="C107" s="1">
        <v>3.2000000000000001E-2</v>
      </c>
      <c r="D107" s="1">
        <v>0</v>
      </c>
      <c r="E107" s="1">
        <f t="shared" si="2"/>
        <v>0.28378083270217758</v>
      </c>
      <c r="F107" s="1">
        <f t="shared" si="3"/>
        <v>-10.614800000000001</v>
      </c>
    </row>
    <row r="108" spans="1:6" x14ac:dyDescent="0.2">
      <c r="A108" s="1">
        <v>48218.165650000003</v>
      </c>
      <c r="B108" s="1">
        <v>10.614100000000001</v>
      </c>
      <c r="C108" s="1">
        <v>0.03</v>
      </c>
      <c r="D108" s="1">
        <v>0</v>
      </c>
      <c r="E108" s="1">
        <f t="shared" si="2"/>
        <v>0.75326370062077785</v>
      </c>
      <c r="F108" s="1">
        <f t="shared" si="3"/>
        <v>-10.614100000000001</v>
      </c>
    </row>
    <row r="109" spans="1:6" x14ac:dyDescent="0.2">
      <c r="A109" s="1">
        <v>48026.121330000002</v>
      </c>
      <c r="B109" s="1">
        <v>10.613</v>
      </c>
      <c r="C109" s="1">
        <v>2.7E-2</v>
      </c>
      <c r="D109" s="1">
        <v>0</v>
      </c>
      <c r="E109" s="1">
        <f t="shared" si="2"/>
        <v>0.30881984798696749</v>
      </c>
      <c r="F109" s="1">
        <f t="shared" si="3"/>
        <v>-10.613</v>
      </c>
    </row>
    <row r="110" spans="1:6" x14ac:dyDescent="0.2">
      <c r="A110" s="1">
        <v>48720.426439999996</v>
      </c>
      <c r="B110" s="1">
        <v>10.613</v>
      </c>
      <c r="C110" s="1">
        <v>3.2000000000000001E-2</v>
      </c>
      <c r="D110" s="1">
        <v>0</v>
      </c>
      <c r="E110" s="1">
        <f t="shared" si="2"/>
        <v>0.35330524587334367</v>
      </c>
      <c r="F110" s="1">
        <f t="shared" si="3"/>
        <v>-10.613</v>
      </c>
    </row>
    <row r="111" spans="1:6" x14ac:dyDescent="0.2">
      <c r="A111" s="1">
        <v>47984.190640000001</v>
      </c>
      <c r="B111" s="1">
        <v>10.612</v>
      </c>
      <c r="C111" s="1">
        <v>3.1E-2</v>
      </c>
      <c r="D111" s="1">
        <v>2</v>
      </c>
      <c r="E111" s="1">
        <f t="shared" si="2"/>
        <v>0.64075058456052147</v>
      </c>
      <c r="F111" s="1">
        <f t="shared" si="3"/>
        <v>-10.612</v>
      </c>
    </row>
    <row r="112" spans="1:6" x14ac:dyDescent="0.2">
      <c r="A112" s="1">
        <v>48421.513310000002</v>
      </c>
      <c r="B112" s="1">
        <v>10.6119</v>
      </c>
      <c r="C112" s="1">
        <v>2.7E-2</v>
      </c>
      <c r="D112" s="1">
        <v>0</v>
      </c>
      <c r="E112" s="1">
        <f t="shared" si="2"/>
        <v>0.30029241479314805</v>
      </c>
      <c r="F112" s="1">
        <f t="shared" si="3"/>
        <v>-10.6119</v>
      </c>
    </row>
    <row r="113" spans="1:6" x14ac:dyDescent="0.2">
      <c r="A113" s="1">
        <v>48026.046820000003</v>
      </c>
      <c r="B113" s="1">
        <v>10.6112</v>
      </c>
      <c r="C113" s="1">
        <v>2.4E-2</v>
      </c>
      <c r="D113" s="1">
        <v>0</v>
      </c>
      <c r="E113" s="1">
        <f t="shared" si="2"/>
        <v>0.11038791565636075</v>
      </c>
      <c r="F113" s="1">
        <f t="shared" si="3"/>
        <v>-10.6112</v>
      </c>
    </row>
    <row r="114" spans="1:6" x14ac:dyDescent="0.2">
      <c r="A114" s="1">
        <v>47984.204939999996</v>
      </c>
      <c r="B114" s="1">
        <v>10.6097</v>
      </c>
      <c r="C114" s="1">
        <v>2.9000000000000001E-2</v>
      </c>
      <c r="D114" s="1">
        <v>0</v>
      </c>
      <c r="E114" s="1">
        <f t="shared" si="2"/>
        <v>0.67883374965842336</v>
      </c>
      <c r="F114" s="1">
        <f t="shared" si="3"/>
        <v>-10.6097</v>
      </c>
    </row>
    <row r="115" spans="1:6" x14ac:dyDescent="0.2">
      <c r="A115" s="1">
        <v>48421.49901</v>
      </c>
      <c r="B115" s="1">
        <v>10.6092</v>
      </c>
      <c r="C115" s="1">
        <v>0.03</v>
      </c>
      <c r="D115" s="1">
        <v>0</v>
      </c>
      <c r="E115" s="1">
        <f t="shared" si="2"/>
        <v>0.26220924967583414</v>
      </c>
      <c r="F115" s="1">
        <f t="shared" si="3"/>
        <v>-10.6092</v>
      </c>
    </row>
    <row r="116" spans="1:6" x14ac:dyDescent="0.2">
      <c r="A116" s="1">
        <v>47984.635040000001</v>
      </c>
      <c r="B116" s="1">
        <v>10.6088</v>
      </c>
      <c r="C116" s="1">
        <v>3.4000000000000002E-2</v>
      </c>
      <c r="D116" s="1">
        <v>2</v>
      </c>
      <c r="E116" s="1">
        <f t="shared" si="2"/>
        <v>0.82425817722594275</v>
      </c>
      <c r="F116" s="1">
        <f t="shared" si="3"/>
        <v>-10.6088</v>
      </c>
    </row>
    <row r="117" spans="1:6" x14ac:dyDescent="0.2">
      <c r="A117" s="1">
        <v>47984.812810000003</v>
      </c>
      <c r="B117" s="1">
        <v>10.6058</v>
      </c>
      <c r="C117" s="1">
        <v>2.5999999999999999E-2</v>
      </c>
      <c r="D117" s="1">
        <v>0</v>
      </c>
      <c r="E117" s="1">
        <f t="shared" si="2"/>
        <v>0.29768784588125641</v>
      </c>
      <c r="F117" s="1">
        <f t="shared" si="3"/>
        <v>-10.6058</v>
      </c>
    </row>
    <row r="118" spans="1:6" x14ac:dyDescent="0.2">
      <c r="A118" s="1">
        <v>47983.493869999998</v>
      </c>
      <c r="B118" s="1">
        <v>10.604799999999999</v>
      </c>
      <c r="C118" s="1">
        <v>2.5000000000000001E-2</v>
      </c>
      <c r="D118" s="1">
        <v>0</v>
      </c>
      <c r="E118" s="1">
        <f t="shared" si="2"/>
        <v>0.78514170664959693</v>
      </c>
      <c r="F118" s="1">
        <f t="shared" si="3"/>
        <v>-10.604799999999999</v>
      </c>
    </row>
    <row r="119" spans="1:6" x14ac:dyDescent="0.2">
      <c r="A119" s="1">
        <v>48540.881219999996</v>
      </c>
      <c r="B119" s="1">
        <v>10.603999999999999</v>
      </c>
      <c r="C119" s="1">
        <v>2.4E-2</v>
      </c>
      <c r="D119" s="1">
        <v>0</v>
      </c>
      <c r="E119" s="1">
        <f t="shared" si="2"/>
        <v>0.19594454237335412</v>
      </c>
      <c r="F119" s="1">
        <f t="shared" si="3"/>
        <v>-10.603999999999999</v>
      </c>
    </row>
    <row r="120" spans="1:6" x14ac:dyDescent="0.2">
      <c r="A120" s="1">
        <v>47984.382689999999</v>
      </c>
      <c r="B120" s="1">
        <v>10.6038</v>
      </c>
      <c r="C120" s="1">
        <v>2.5999999999999999E-2</v>
      </c>
      <c r="D120" s="1">
        <v>0</v>
      </c>
      <c r="E120" s="1">
        <f t="shared" si="2"/>
        <v>0.15221015514708824</v>
      </c>
      <c r="F120" s="1">
        <f t="shared" si="3"/>
        <v>-10.6038</v>
      </c>
    </row>
    <row r="121" spans="1:6" x14ac:dyDescent="0.2">
      <c r="A121" s="1">
        <v>48556.628080000002</v>
      </c>
      <c r="B121" s="1">
        <v>10.6022</v>
      </c>
      <c r="C121" s="1">
        <v>2.5999999999999999E-2</v>
      </c>
      <c r="D121" s="1">
        <v>0</v>
      </c>
      <c r="E121" s="1">
        <f t="shared" si="2"/>
        <v>0.13232701454739981</v>
      </c>
      <c r="F121" s="1">
        <f t="shared" si="3"/>
        <v>-10.6022</v>
      </c>
    </row>
    <row r="122" spans="1:6" x14ac:dyDescent="0.2">
      <c r="A122" s="1">
        <v>48055.173880000002</v>
      </c>
      <c r="B122" s="1">
        <v>10.598699999999999</v>
      </c>
      <c r="C122" s="1">
        <v>2.5999999999999999E-2</v>
      </c>
      <c r="D122" s="1">
        <v>0</v>
      </c>
      <c r="E122" s="1">
        <f t="shared" si="2"/>
        <v>0.68036240259590386</v>
      </c>
      <c r="F122" s="1">
        <f t="shared" si="3"/>
        <v>-10.598699999999999</v>
      </c>
    </row>
    <row r="123" spans="1:6" x14ac:dyDescent="0.2">
      <c r="A123" s="1">
        <v>48372.28959</v>
      </c>
      <c r="B123" s="1">
        <v>10.5954</v>
      </c>
      <c r="C123" s="1">
        <v>3.3000000000000002E-2</v>
      </c>
      <c r="D123" s="1">
        <v>0</v>
      </c>
      <c r="E123" s="1">
        <f t="shared" si="2"/>
        <v>0.20972905026064836</v>
      </c>
      <c r="F123" s="1">
        <f t="shared" si="3"/>
        <v>-10.5954</v>
      </c>
    </row>
    <row r="124" spans="1:6" x14ac:dyDescent="0.2">
      <c r="A124" s="1">
        <v>48556.450290000001</v>
      </c>
      <c r="B124" s="1">
        <v>10.5915</v>
      </c>
      <c r="C124" s="1">
        <v>0.03</v>
      </c>
      <c r="D124" s="1">
        <v>0</v>
      </c>
      <c r="E124" s="1">
        <f t="shared" si="2"/>
        <v>0.65884408272563633</v>
      </c>
      <c r="F124" s="1">
        <f t="shared" si="3"/>
        <v>-10.5915</v>
      </c>
    </row>
    <row r="125" spans="1:6" x14ac:dyDescent="0.2">
      <c r="A125" s="1">
        <v>48393.348579999998</v>
      </c>
      <c r="B125" s="1">
        <v>10.5905</v>
      </c>
      <c r="C125" s="1">
        <v>0.03</v>
      </c>
      <c r="D125" s="1">
        <v>0</v>
      </c>
      <c r="E125" s="1">
        <f t="shared" si="2"/>
        <v>0.29315515027224137</v>
      </c>
      <c r="F125" s="1">
        <f t="shared" si="3"/>
        <v>-10.5905</v>
      </c>
    </row>
    <row r="126" spans="1:6" x14ac:dyDescent="0.2">
      <c r="A126" s="1">
        <v>47986.071479999999</v>
      </c>
      <c r="B126" s="1">
        <v>10.5885</v>
      </c>
      <c r="C126" s="1">
        <v>2.8000000000000001E-2</v>
      </c>
      <c r="D126" s="1">
        <v>0</v>
      </c>
      <c r="E126" s="1">
        <f t="shared" si="2"/>
        <v>0.64972542836090952</v>
      </c>
      <c r="F126" s="1">
        <f t="shared" si="3"/>
        <v>-10.5885</v>
      </c>
    </row>
    <row r="127" spans="1:6" x14ac:dyDescent="0.2">
      <c r="A127" s="1">
        <v>48055.365969999999</v>
      </c>
      <c r="B127" s="1">
        <v>10.586499999999999</v>
      </c>
      <c r="C127" s="1">
        <v>2.5999999999999999E-2</v>
      </c>
      <c r="D127" s="1">
        <v>0</v>
      </c>
      <c r="E127" s="1">
        <f t="shared" si="2"/>
        <v>0.19192849951576818</v>
      </c>
      <c r="F127" s="1">
        <f t="shared" si="3"/>
        <v>-10.586499999999999</v>
      </c>
    </row>
    <row r="128" spans="1:6" x14ac:dyDescent="0.2">
      <c r="A128" s="1">
        <v>47983.83509</v>
      </c>
      <c r="B128" s="1">
        <v>10.5854</v>
      </c>
      <c r="C128" s="1">
        <v>2.7E-2</v>
      </c>
      <c r="D128" s="1">
        <v>0</v>
      </c>
      <c r="E128" s="1">
        <f t="shared" si="2"/>
        <v>0.69386461567626156</v>
      </c>
      <c r="F128" s="1">
        <f t="shared" si="3"/>
        <v>-10.5854</v>
      </c>
    </row>
    <row r="129" spans="1:6" x14ac:dyDescent="0.2">
      <c r="A129" s="1">
        <v>48934.785309999999</v>
      </c>
      <c r="B129" s="1">
        <v>10.5852</v>
      </c>
      <c r="C129" s="1">
        <v>2.7E-2</v>
      </c>
      <c r="D129" s="1">
        <v>0</v>
      </c>
      <c r="E129" s="1">
        <f t="shared" si="2"/>
        <v>0.22493035840125231</v>
      </c>
      <c r="F129" s="1">
        <f t="shared" si="3"/>
        <v>-10.5852</v>
      </c>
    </row>
    <row r="130" spans="1:6" x14ac:dyDescent="0.2">
      <c r="A130" s="1">
        <v>47985.715969999997</v>
      </c>
      <c r="B130" s="1">
        <v>10.5848</v>
      </c>
      <c r="C130" s="1">
        <v>2.4E-2</v>
      </c>
      <c r="D130" s="1">
        <v>0</v>
      </c>
      <c r="E130" s="1">
        <f t="shared" si="2"/>
        <v>0.70294598580994716</v>
      </c>
      <c r="F130" s="1">
        <f t="shared" si="3"/>
        <v>-10.5848</v>
      </c>
    </row>
    <row r="131" spans="1:6" x14ac:dyDescent="0.2">
      <c r="A131" s="1">
        <v>48055.188199999997</v>
      </c>
      <c r="B131" s="1">
        <v>10.578799999999999</v>
      </c>
      <c r="C131" s="1">
        <v>2.7E-2</v>
      </c>
      <c r="D131" s="1">
        <v>0</v>
      </c>
      <c r="E131" s="1">
        <f t="shared" si="2"/>
        <v>0.71849883086048294</v>
      </c>
      <c r="F131" s="1">
        <f t="shared" si="3"/>
        <v>-10.578799999999999</v>
      </c>
    </row>
    <row r="132" spans="1:6" x14ac:dyDescent="0.2">
      <c r="A132" s="1">
        <v>47983.47956</v>
      </c>
      <c r="B132" s="1">
        <v>10.5748</v>
      </c>
      <c r="C132" s="1">
        <v>2.4E-2</v>
      </c>
      <c r="D132" s="1">
        <v>0</v>
      </c>
      <c r="E132" s="1">
        <f t="shared" si="2"/>
        <v>0.74703190995867885</v>
      </c>
      <c r="F132" s="1">
        <f t="shared" si="3"/>
        <v>-10.5748</v>
      </c>
    </row>
    <row r="133" spans="1:6" x14ac:dyDescent="0.2">
      <c r="A133" s="1">
        <v>48240.900860000002</v>
      </c>
      <c r="B133" s="1">
        <v>10.570399999999999</v>
      </c>
      <c r="C133" s="1">
        <v>2.9000000000000001E-2</v>
      </c>
      <c r="D133" s="1">
        <v>0</v>
      </c>
      <c r="E133" s="1">
        <f t="shared" si="2"/>
        <v>0.30072917276925182</v>
      </c>
      <c r="F133" s="1">
        <f t="shared" si="3"/>
        <v>-10.570399999999999</v>
      </c>
    </row>
    <row r="134" spans="1:6" x14ac:dyDescent="0.2">
      <c r="A134" s="1">
        <v>47985.701629999996</v>
      </c>
      <c r="B134" s="1">
        <v>10.5677</v>
      </c>
      <c r="C134" s="1">
        <v>3.2000000000000001E-2</v>
      </c>
      <c r="D134" s="1">
        <v>0</v>
      </c>
      <c r="E134" s="1">
        <f t="shared" si="2"/>
        <v>0.66475629435939254</v>
      </c>
      <c r="F134" s="1">
        <f t="shared" si="3"/>
        <v>-10.5677</v>
      </c>
    </row>
    <row r="135" spans="1:6" x14ac:dyDescent="0.2">
      <c r="A135" s="1">
        <v>47985.16835</v>
      </c>
      <c r="B135" s="1">
        <v>10.565300000000001</v>
      </c>
      <c r="C135" s="1">
        <v>2.9000000000000001E-2</v>
      </c>
      <c r="D135" s="1">
        <v>0</v>
      </c>
      <c r="E135" s="1">
        <f t="shared" si="2"/>
        <v>0.24454718317250013</v>
      </c>
      <c r="F135" s="1">
        <f t="shared" si="3"/>
        <v>-10.565300000000001</v>
      </c>
    </row>
    <row r="136" spans="1:6" x14ac:dyDescent="0.2">
      <c r="A136" s="1">
        <v>47983.849390000003</v>
      </c>
      <c r="B136" s="1">
        <v>10.5547</v>
      </c>
      <c r="C136" s="1">
        <v>2.7E-2</v>
      </c>
      <c r="D136" s="1">
        <v>0</v>
      </c>
      <c r="E136" s="1">
        <f t="shared" si="2"/>
        <v>0.73194778079354705</v>
      </c>
      <c r="F136" s="1">
        <f t="shared" si="3"/>
        <v>-10.5547</v>
      </c>
    </row>
    <row r="137" spans="1:6" x14ac:dyDescent="0.2">
      <c r="A137" s="1">
        <v>48218.151330000001</v>
      </c>
      <c r="B137" s="1">
        <v>10.552</v>
      </c>
      <c r="C137" s="1">
        <v>0.03</v>
      </c>
      <c r="D137" s="1">
        <v>0</v>
      </c>
      <c r="E137" s="1">
        <f t="shared" si="2"/>
        <v>0.71512727233687201</v>
      </c>
      <c r="F137" s="1">
        <f t="shared" si="3"/>
        <v>-10.552</v>
      </c>
    </row>
    <row r="138" spans="1:6" x14ac:dyDescent="0.2">
      <c r="A138" s="1">
        <v>48393.33423</v>
      </c>
      <c r="B138" s="1">
        <v>10.5413</v>
      </c>
      <c r="C138" s="1">
        <v>2.7E-2</v>
      </c>
      <c r="D138" s="1">
        <v>0</v>
      </c>
      <c r="E138" s="1">
        <f t="shared" si="2"/>
        <v>0.25493882724799732</v>
      </c>
      <c r="F138" s="1">
        <f t="shared" si="3"/>
        <v>-10.5413</v>
      </c>
    </row>
    <row r="139" spans="1:6" x14ac:dyDescent="0.2">
      <c r="A139" s="1">
        <v>48540.895539999998</v>
      </c>
      <c r="B139" s="1">
        <v>10.536</v>
      </c>
      <c r="C139" s="1">
        <v>3.6999999999999998E-2</v>
      </c>
      <c r="D139" s="1">
        <v>0</v>
      </c>
      <c r="E139" s="1">
        <f t="shared" si="2"/>
        <v>0.23408097065725997</v>
      </c>
      <c r="F139" s="1">
        <f t="shared" si="3"/>
        <v>-10.536</v>
      </c>
    </row>
    <row r="140" spans="1:6" x14ac:dyDescent="0.2">
      <c r="A140" s="1">
        <v>48631.178449999999</v>
      </c>
      <c r="B140" s="1">
        <v>10.521699999999999</v>
      </c>
      <c r="C140" s="1">
        <v>3.5999999999999997E-2</v>
      </c>
      <c r="D140" s="1">
        <v>0</v>
      </c>
      <c r="E140" s="1">
        <f>+(A140-B$6)/B$7-INT((A140-B$6)/B$7)</f>
        <v>0.67177105359269262</v>
      </c>
      <c r="F140" s="1">
        <f>-B140</f>
        <v>-10.521699999999999</v>
      </c>
    </row>
  </sheetData>
  <sheetProtection selectLockedCells="1" selectUnlockedCells="1"/>
  <phoneticPr fontId="19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 1</vt:lpstr>
      <vt:lpstr>Graphs 1</vt:lpstr>
      <vt:lpstr>BAV</vt:lpstr>
      <vt:lpstr>B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2022-04-03T01:40:20Z</dcterms:created>
  <dcterms:modified xsi:type="dcterms:W3CDTF">2024-02-26T23:59:10Z</dcterms:modified>
</cp:coreProperties>
</file>