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7A188587-B64D-4239-BA36-32940F0F3EA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  <sheet name="BAV" sheetId="2" r:id="rId2"/>
  </sheets>
  <definedNames>
    <definedName name="solver_adj" localSheetId="0" hidden="1">Active!$E$11:$E$13</definedName>
    <definedName name="solver_cvg" localSheetId="0" hidden="1">0.0001</definedName>
    <definedName name="solver_drv" localSheetId="0" hidden="1">1</definedName>
    <definedName name="solver_est" localSheetId="0" hidden="1">1</definedName>
    <definedName name="solver_itr" localSheetId="0" hidden="1">100</definedName>
    <definedName name="solver_lin" localSheetId="0" hidden="1">2</definedName>
    <definedName name="solver_neg" localSheetId="0" hidden="1">2</definedName>
    <definedName name="solver_num" localSheetId="0" hidden="1">0</definedName>
    <definedName name="solver_nwt" localSheetId="0" hidden="1">1</definedName>
    <definedName name="solver_opt" localSheetId="0" hidden="1">Active!$E$14</definedName>
    <definedName name="solver_pre" localSheetId="0" hidden="1">0.000001</definedName>
    <definedName name="solver_scl" localSheetId="0" hidden="1">2</definedName>
    <definedName name="solver_sho" localSheetId="0" hidden="1">2</definedName>
    <definedName name="solver_tim" localSheetId="0" hidden="1">100</definedName>
    <definedName name="solver_tol" localSheetId="0" hidden="1">0.05</definedName>
    <definedName name="solver_typ" localSheetId="0" hidden="1">2</definedName>
    <definedName name="solver_val" localSheetId="0" hidden="1">0</definedName>
  </definedNames>
  <calcPr calcId="181029"/>
</workbook>
</file>

<file path=xl/calcChain.xml><?xml version="1.0" encoding="utf-8"?>
<calcChain xmlns="http://schemas.openxmlformats.org/spreadsheetml/2006/main">
  <c r="E48" i="1" l="1"/>
  <c r="F48" i="1" s="1"/>
  <c r="Q48" i="1"/>
  <c r="E47" i="1"/>
  <c r="F47" i="1" s="1"/>
  <c r="Q47" i="1"/>
  <c r="E49" i="1"/>
  <c r="F49" i="1" s="1"/>
  <c r="Q49" i="1"/>
  <c r="E51" i="1"/>
  <c r="F51" i="1" s="1"/>
  <c r="Q51" i="1"/>
  <c r="E52" i="1"/>
  <c r="F52" i="1" s="1"/>
  <c r="G52" i="1" s="1"/>
  <c r="K52" i="1" s="1"/>
  <c r="Q52" i="1"/>
  <c r="D11" i="1"/>
  <c r="D12" i="1"/>
  <c r="W4" i="1" s="1"/>
  <c r="D13" i="1"/>
  <c r="Q50" i="1"/>
  <c r="D9" i="1"/>
  <c r="C9" i="1"/>
  <c r="C7" i="1"/>
  <c r="E50" i="1"/>
  <c r="F50" i="1" s="1"/>
  <c r="G50" i="1" s="1"/>
  <c r="K50" i="1" s="1"/>
  <c r="C8" i="1"/>
  <c r="E26" i="1"/>
  <c r="E25" i="1"/>
  <c r="F25" i="1"/>
  <c r="G25" i="1" s="1"/>
  <c r="K25" i="1" s="1"/>
  <c r="E34" i="1"/>
  <c r="F34" i="1" s="1"/>
  <c r="G34" i="1" s="1"/>
  <c r="K34" i="1" s="1"/>
  <c r="E42" i="1"/>
  <c r="F42" i="1" s="1"/>
  <c r="G42" i="1" s="1"/>
  <c r="K42" i="1" s="1"/>
  <c r="F16" i="1"/>
  <c r="F17" i="1" s="1"/>
  <c r="C17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6" i="1"/>
  <c r="Q45" i="1"/>
  <c r="A11" i="2"/>
  <c r="H11" i="2"/>
  <c r="B11" i="2"/>
  <c r="G11" i="2"/>
  <c r="C11" i="2"/>
  <c r="E11" i="2"/>
  <c r="D11" i="2"/>
  <c r="A12" i="2"/>
  <c r="H12" i="2"/>
  <c r="B12" i="2"/>
  <c r="G12" i="2"/>
  <c r="C12" i="2"/>
  <c r="D12" i="2"/>
  <c r="A13" i="2"/>
  <c r="H13" i="2"/>
  <c r="B13" i="2"/>
  <c r="G13" i="2"/>
  <c r="C13" i="2"/>
  <c r="D13" i="2"/>
  <c r="A14" i="2"/>
  <c r="H14" i="2"/>
  <c r="B14" i="2"/>
  <c r="G14" i="2"/>
  <c r="C14" i="2"/>
  <c r="D14" i="2"/>
  <c r="A15" i="2"/>
  <c r="H15" i="2"/>
  <c r="B15" i="2"/>
  <c r="G15" i="2"/>
  <c r="C15" i="2"/>
  <c r="D15" i="2"/>
  <c r="A16" i="2"/>
  <c r="H16" i="2"/>
  <c r="B16" i="2"/>
  <c r="G16" i="2"/>
  <c r="C16" i="2"/>
  <c r="E16" i="2"/>
  <c r="D16" i="2"/>
  <c r="A17" i="2"/>
  <c r="H17" i="2"/>
  <c r="B17" i="2"/>
  <c r="G17" i="2"/>
  <c r="C17" i="2"/>
  <c r="D17" i="2"/>
  <c r="A18" i="2"/>
  <c r="H18" i="2"/>
  <c r="B18" i="2"/>
  <c r="G18" i="2"/>
  <c r="C18" i="2"/>
  <c r="D18" i="2"/>
  <c r="A19" i="2"/>
  <c r="H19" i="2"/>
  <c r="B19" i="2"/>
  <c r="G19" i="2"/>
  <c r="C19" i="2"/>
  <c r="D19" i="2"/>
  <c r="A20" i="2"/>
  <c r="H20" i="2"/>
  <c r="B20" i="2"/>
  <c r="G20" i="2"/>
  <c r="C20" i="2"/>
  <c r="D20" i="2"/>
  <c r="A21" i="2"/>
  <c r="H21" i="2"/>
  <c r="B21" i="2"/>
  <c r="G21" i="2"/>
  <c r="C21" i="2"/>
  <c r="D21" i="2"/>
  <c r="A22" i="2"/>
  <c r="H22" i="2"/>
  <c r="B22" i="2"/>
  <c r="G22" i="2"/>
  <c r="C22" i="2"/>
  <c r="D22" i="2"/>
  <c r="A23" i="2"/>
  <c r="H23" i="2"/>
  <c r="B23" i="2"/>
  <c r="G23" i="2"/>
  <c r="C23" i="2"/>
  <c r="D23" i="2"/>
  <c r="A24" i="2"/>
  <c r="H24" i="2"/>
  <c r="B24" i="2"/>
  <c r="G24" i="2"/>
  <c r="C24" i="2"/>
  <c r="D24" i="2"/>
  <c r="A25" i="2"/>
  <c r="H25" i="2"/>
  <c r="B25" i="2"/>
  <c r="G25" i="2"/>
  <c r="C25" i="2"/>
  <c r="E25" i="2"/>
  <c r="D25" i="2"/>
  <c r="F26" i="1"/>
  <c r="E12" i="2"/>
  <c r="E31" i="1"/>
  <c r="F31" i="1" s="1"/>
  <c r="E39" i="1"/>
  <c r="F39" i="1"/>
  <c r="G39" i="1" s="1"/>
  <c r="I39" i="1" s="1"/>
  <c r="E30" i="1"/>
  <c r="F30" i="1" s="1"/>
  <c r="G30" i="1" s="1"/>
  <c r="K30" i="1" s="1"/>
  <c r="E22" i="1"/>
  <c r="F22" i="1" s="1"/>
  <c r="G22" i="1" s="1"/>
  <c r="I22" i="1" s="1"/>
  <c r="E44" i="1"/>
  <c r="F44" i="1" s="1"/>
  <c r="G44" i="1" s="1"/>
  <c r="K44" i="1" s="1"/>
  <c r="E36" i="1"/>
  <c r="E27" i="1"/>
  <c r="F27" i="1" s="1"/>
  <c r="G27" i="1" s="1"/>
  <c r="K27" i="1" s="1"/>
  <c r="E41" i="1"/>
  <c r="F41" i="1"/>
  <c r="G41" i="1" s="1"/>
  <c r="K41" i="1" s="1"/>
  <c r="E33" i="1"/>
  <c r="F33" i="1"/>
  <c r="E24" i="1"/>
  <c r="F24" i="1" s="1"/>
  <c r="G24" i="1" s="1"/>
  <c r="J24" i="1" s="1"/>
  <c r="E45" i="1"/>
  <c r="F45" i="1" s="1"/>
  <c r="G45" i="1" s="1"/>
  <c r="K45" i="1" s="1"/>
  <c r="E38" i="1"/>
  <c r="E29" i="1"/>
  <c r="F29" i="1"/>
  <c r="E21" i="1"/>
  <c r="F21" i="1" s="1"/>
  <c r="G21" i="1" s="1"/>
  <c r="H21" i="1" s="1"/>
  <c r="E43" i="1"/>
  <c r="F43" i="1"/>
  <c r="G43" i="1" s="1"/>
  <c r="I43" i="1" s="1"/>
  <c r="E35" i="1"/>
  <c r="E17" i="2" s="1"/>
  <c r="E40" i="1"/>
  <c r="F40" i="1" s="1"/>
  <c r="E32" i="1"/>
  <c r="F32" i="1" s="1"/>
  <c r="E23" i="1"/>
  <c r="F23" i="1" s="1"/>
  <c r="G23" i="1" s="1"/>
  <c r="I23" i="1" s="1"/>
  <c r="E46" i="1"/>
  <c r="F46" i="1"/>
  <c r="G46" i="1" s="1"/>
  <c r="K46" i="1" s="1"/>
  <c r="E37" i="1"/>
  <c r="F37" i="1" s="1"/>
  <c r="E28" i="1"/>
  <c r="F28" i="1" s="1"/>
  <c r="G28" i="1" s="1"/>
  <c r="K28" i="1" s="1"/>
  <c r="G29" i="1"/>
  <c r="K29" i="1" s="1"/>
  <c r="G26" i="1"/>
  <c r="K26" i="1" s="1"/>
  <c r="E20" i="2"/>
  <c r="F38" i="1"/>
  <c r="G38" i="1" s="1"/>
  <c r="I38" i="1" s="1"/>
  <c r="E23" i="2"/>
  <c r="E14" i="2"/>
  <c r="E18" i="2"/>
  <c r="F36" i="1"/>
  <c r="G36" i="1" s="1"/>
  <c r="K36" i="1" s="1"/>
  <c r="E22" i="2"/>
  <c r="E19" i="2"/>
  <c r="G33" i="1"/>
  <c r="K33" i="1" s="1"/>
  <c r="E21" i="2"/>
  <c r="E24" i="2"/>
  <c r="P26" i="1" l="1"/>
  <c r="W2" i="1"/>
  <c r="G48" i="1"/>
  <c r="U48" i="1" s="1"/>
  <c r="P48" i="1"/>
  <c r="R48" i="1" s="1"/>
  <c r="T48" i="1" s="1"/>
  <c r="P32" i="1"/>
  <c r="G32" i="1"/>
  <c r="K32" i="1" s="1"/>
  <c r="P40" i="1"/>
  <c r="G40" i="1"/>
  <c r="K40" i="1" s="1"/>
  <c r="G37" i="1"/>
  <c r="K37" i="1" s="1"/>
  <c r="P37" i="1"/>
  <c r="E13" i="2"/>
  <c r="E15" i="2"/>
  <c r="R26" i="1"/>
  <c r="T26" i="1" s="1"/>
  <c r="F35" i="1"/>
  <c r="G35" i="1" s="1"/>
  <c r="K35" i="1" s="1"/>
  <c r="P52" i="1"/>
  <c r="R52" i="1" s="1"/>
  <c r="T52" i="1" s="1"/>
  <c r="G51" i="1"/>
  <c r="K51" i="1" s="1"/>
  <c r="P51" i="1"/>
  <c r="R51" i="1" s="1"/>
  <c r="T51" i="1" s="1"/>
  <c r="G49" i="1"/>
  <c r="K49" i="1" s="1"/>
  <c r="P49" i="1"/>
  <c r="R49" i="1" s="1"/>
  <c r="T49" i="1" s="1"/>
  <c r="G47" i="1"/>
  <c r="D16" i="1"/>
  <c r="D19" i="1" s="1"/>
  <c r="P47" i="1"/>
  <c r="R47" i="1" s="1"/>
  <c r="T47" i="1" s="1"/>
  <c r="W15" i="1"/>
  <c r="P44" i="1"/>
  <c r="R44" i="1" s="1"/>
  <c r="T44" i="1" s="1"/>
  <c r="P39" i="1"/>
  <c r="R39" i="1" s="1"/>
  <c r="T39" i="1" s="1"/>
  <c r="W14" i="1"/>
  <c r="W7" i="1"/>
  <c r="P41" i="1"/>
  <c r="R41" i="1" s="1"/>
  <c r="T41" i="1" s="1"/>
  <c r="P46" i="1"/>
  <c r="R46" i="1" s="1"/>
  <c r="T46" i="1" s="1"/>
  <c r="P45" i="1"/>
  <c r="R45" i="1" s="1"/>
  <c r="T45" i="1" s="1"/>
  <c r="P27" i="1"/>
  <c r="R27" i="1" s="1"/>
  <c r="T27" i="1" s="1"/>
  <c r="W9" i="1"/>
  <c r="P34" i="1"/>
  <c r="R34" i="1" s="1"/>
  <c r="T34" i="1" s="1"/>
  <c r="P33" i="1"/>
  <c r="R33" i="1" s="1"/>
  <c r="T33" i="1" s="1"/>
  <c r="W13" i="1"/>
  <c r="P25" i="1"/>
  <c r="R25" i="1" s="1"/>
  <c r="T25" i="1" s="1"/>
  <c r="P43" i="1"/>
  <c r="R43" i="1" s="1"/>
  <c r="T43" i="1" s="1"/>
  <c r="P28" i="1"/>
  <c r="R28" i="1" s="1"/>
  <c r="T28" i="1" s="1"/>
  <c r="P29" i="1"/>
  <c r="R29" i="1" s="1"/>
  <c r="T29" i="1" s="1"/>
  <c r="P50" i="1"/>
  <c r="R50" i="1" s="1"/>
  <c r="T50" i="1" s="1"/>
  <c r="W11" i="1"/>
  <c r="P38" i="1"/>
  <c r="R38" i="1" s="1"/>
  <c r="T38" i="1" s="1"/>
  <c r="P23" i="1"/>
  <c r="R23" i="1" s="1"/>
  <c r="T23" i="1" s="1"/>
  <c r="P22" i="1"/>
  <c r="R22" i="1" s="1"/>
  <c r="T22" i="1" s="1"/>
  <c r="W3" i="1"/>
  <c r="W8" i="1"/>
  <c r="W16" i="1"/>
  <c r="P42" i="1"/>
  <c r="R42" i="1" s="1"/>
  <c r="T42" i="1" s="1"/>
  <c r="W6" i="1"/>
  <c r="W12" i="1"/>
  <c r="P36" i="1"/>
  <c r="R36" i="1" s="1"/>
  <c r="T36" i="1" s="1"/>
  <c r="P24" i="1"/>
  <c r="R24" i="1" s="1"/>
  <c r="T24" i="1" s="1"/>
  <c r="P21" i="1"/>
  <c r="R21" i="1" s="1"/>
  <c r="T21" i="1" s="1"/>
  <c r="P30" i="1"/>
  <c r="R30" i="1" s="1"/>
  <c r="T30" i="1" s="1"/>
  <c r="P31" i="1"/>
  <c r="R31" i="1" s="1"/>
  <c r="T31" i="1" s="1"/>
  <c r="W10" i="1"/>
  <c r="W5" i="1"/>
  <c r="C11" i="1"/>
  <c r="C12" i="1"/>
  <c r="D15" i="1" l="1"/>
  <c r="C19" i="1" s="1"/>
  <c r="P35" i="1"/>
  <c r="R35" i="1" s="1"/>
  <c r="T35" i="1" s="1"/>
  <c r="O48" i="1"/>
  <c r="R37" i="1"/>
  <c r="T37" i="1" s="1"/>
  <c r="R40" i="1"/>
  <c r="T40" i="1" s="1"/>
  <c r="R32" i="1"/>
  <c r="T32" i="1" s="1"/>
  <c r="C16" i="1"/>
  <c r="D18" i="1" s="1"/>
  <c r="O47" i="1"/>
  <c r="O49" i="1"/>
  <c r="O51" i="1"/>
  <c r="O52" i="1"/>
  <c r="O39" i="1"/>
  <c r="O43" i="1"/>
  <c r="O36" i="1"/>
  <c r="O37" i="1"/>
  <c r="O32" i="1"/>
  <c r="O21" i="1"/>
  <c r="O44" i="1"/>
  <c r="O42" i="1"/>
  <c r="O41" i="1"/>
  <c r="O35" i="1"/>
  <c r="O40" i="1"/>
  <c r="O50" i="1"/>
  <c r="O45" i="1"/>
  <c r="O34" i="1"/>
  <c r="O30" i="1"/>
  <c r="O46" i="1"/>
  <c r="O26" i="1"/>
  <c r="C15" i="1"/>
  <c r="O28" i="1"/>
  <c r="O29" i="1"/>
  <c r="O27" i="1"/>
  <c r="O31" i="1"/>
  <c r="O33" i="1"/>
  <c r="O23" i="1"/>
  <c r="O25" i="1"/>
  <c r="O22" i="1"/>
  <c r="O24" i="1"/>
  <c r="O38" i="1"/>
  <c r="K47" i="1"/>
  <c r="E14" i="1"/>
  <c r="F18" i="1" l="1"/>
  <c r="F19" i="1" s="1"/>
  <c r="C18" i="1"/>
</calcChain>
</file>

<file path=xl/sharedStrings.xml><?xml version="1.0" encoding="utf-8"?>
<sst xmlns="http://schemas.openxmlformats.org/spreadsheetml/2006/main" count="246" uniqueCount="146">
  <si>
    <t>II UMa / GSC 03841-00296</t>
  </si>
  <si>
    <t>n</t>
  </si>
  <si>
    <t>Q. Fit</t>
  </si>
  <si>
    <t>System Type:</t>
  </si>
  <si>
    <t>EW:</t>
  </si>
  <si>
    <t>GCVS 4 Eph.</t>
  </si>
  <si>
    <t>My time zone &gt;&gt;&gt;&gt;&gt;</t>
  </si>
  <si>
    <t>(PST=8, PDT=MDT=7, MDT=CST=6, etc.)</t>
  </si>
  <si>
    <t>--- Working ----</t>
  </si>
  <si>
    <t>Epoch =</t>
  </si>
  <si>
    <t>Period =</t>
  </si>
  <si>
    <t>Start of linear fit &gt;&gt;&gt;&gt;&gt;&gt;&gt;&gt;&gt;&gt;&gt;&gt;&gt;&gt;&gt;&gt;&gt;&gt;&gt;&gt;&gt;</t>
  </si>
  <si>
    <t>Linear</t>
  </si>
  <si>
    <t>Quadratic</t>
  </si>
  <si>
    <t>LS Intercept =</t>
  </si>
  <si>
    <t>LS Slope =</t>
  </si>
  <si>
    <t>LS Quadr term =</t>
  </si>
  <si>
    <t>na</t>
  </si>
  <si>
    <t>New epoch =</t>
  </si>
  <si>
    <t>Add cycle</t>
  </si>
  <si>
    <t>New Period =</t>
  </si>
  <si>
    <t>JD today</t>
  </si>
  <si>
    <t># of data points:</t>
  </si>
  <si>
    <t>Old Cycle</t>
  </si>
  <si>
    <t>Linear Ephemeris =</t>
  </si>
  <si>
    <t>New Cycle</t>
  </si>
  <si>
    <t>Quad. Ephemeris =</t>
  </si>
  <si>
    <t>Next ToM</t>
  </si>
  <si>
    <t>Source</t>
  </si>
  <si>
    <t>Typ</t>
  </si>
  <si>
    <t>ToM</t>
  </si>
  <si>
    <t>error</t>
  </si>
  <si>
    <t>n'</t>
  </si>
  <si>
    <t>O-C</t>
  </si>
  <si>
    <t>pg</t>
  </si>
  <si>
    <t>vis</t>
  </si>
  <si>
    <t>PE</t>
  </si>
  <si>
    <t>CCD</t>
  </si>
  <si>
    <t>IBVS</t>
  </si>
  <si>
    <t>S5</t>
  </si>
  <si>
    <t>Misc</t>
  </si>
  <si>
    <t>Lin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</si>
  <si>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</si>
  <si>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</si>
  <si>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wt</t>
  </si>
  <si>
    <r>
      <t>wt.diff</t>
    </r>
    <r>
      <rPr>
        <b/>
        <vertAlign val="superscript"/>
        <sz val="10"/>
        <rFont val="Arial"/>
        <family val="2"/>
      </rPr>
      <t>2</t>
    </r>
  </si>
  <si>
    <t>BAD</t>
  </si>
  <si>
    <t>Hipparcos</t>
  </si>
  <si>
    <t>I</t>
  </si>
  <si>
    <t>ROTSE</t>
  </si>
  <si>
    <t>II</t>
  </si>
  <si>
    <t>IBVS 5623</t>
  </si>
  <si>
    <t>IBVS 5606</t>
  </si>
  <si>
    <t>IBVS 5592</t>
  </si>
  <si>
    <t>Nelson, unpub</t>
  </si>
  <si>
    <t>VSB 45 </t>
  </si>
  <si>
    <t>VSB 48 </t>
  </si>
  <si>
    <t>IBVS 5938</t>
  </si>
  <si>
    <t>IBVS 5974</t>
  </si>
  <si>
    <t>OEJV 0137</t>
  </si>
  <si>
    <t>IBVS 6114</t>
  </si>
  <si>
    <t>OEJV 0172</t>
  </si>
  <si>
    <t>JAVSO..44..164</t>
  </si>
  <si>
    <t>VSB 060</t>
  </si>
  <si>
    <t>V</t>
  </si>
  <si>
    <t>JAVSO..47..105</t>
  </si>
  <si>
    <t>OEJV 0181</t>
  </si>
  <si>
    <t>OEJV 0211</t>
  </si>
  <si>
    <t>Minima from the Lichtenknecker Database of the BAV</t>
  </si>
  <si>
    <t>C</t>
  </si>
  <si>
    <t>E</t>
  </si>
  <si>
    <t>http://www.bav-astro.de/LkDB/index.php?lang=en&amp;sprache_dial=en</t>
  </si>
  <si>
    <t>F</t>
  </si>
  <si>
    <t>P</t>
  </si>
  <si>
    <t>2452723.5654 </t>
  </si>
  <si>
    <t> 25.03.2003 01:34 </t>
  </si>
  <si>
    <t> 0.0061 </t>
  </si>
  <si>
    <t>E </t>
  </si>
  <si>
    <t>?</t>
  </si>
  <si>
    <t> C.Porowski </t>
  </si>
  <si>
    <t>IBVS 5606 </t>
  </si>
  <si>
    <t>2453064.3778 </t>
  </si>
  <si>
    <t> 28.02.2004 21:04 </t>
  </si>
  <si>
    <t> -0.0003 </t>
  </si>
  <si>
    <t> T.Krajci </t>
  </si>
  <si>
    <t>IBVS 5592 </t>
  </si>
  <si>
    <t>2453081.713 </t>
  </si>
  <si>
    <t> 17.03.2004 05:06 </t>
  </si>
  <si>
    <t> 0.005 </t>
  </si>
  <si>
    <t> R.Nelson </t>
  </si>
  <si>
    <t>IBVS 5602 </t>
  </si>
  <si>
    <t>2454949.6403 </t>
  </si>
  <si>
    <t> 28.04.2009 03:22 </t>
  </si>
  <si>
    <t> 0.0309 </t>
  </si>
  <si>
    <t>C </t>
  </si>
  <si>
    <t> S.Dvorak </t>
  </si>
  <si>
    <t>IBVS 5938 </t>
  </si>
  <si>
    <t>2455231.8365 </t>
  </si>
  <si>
    <t> 04.02.2010 08:04 </t>
  </si>
  <si>
    <t> -0.0006 </t>
  </si>
  <si>
    <t>IBVS 5974 </t>
  </si>
  <si>
    <t>2456057.47533 </t>
  </si>
  <si>
    <t> 09.05.2012 23:24 </t>
  </si>
  <si>
    <t> -0.00147 </t>
  </si>
  <si>
    <t> R.Uhlar </t>
  </si>
  <si>
    <t>IBVS 6114 </t>
  </si>
  <si>
    <t>2456319.48641 </t>
  </si>
  <si>
    <t> 26.01.2013 23:40 </t>
  </si>
  <si>
    <t> 0.00000 </t>
  </si>
  <si>
    <t>2456713.53442 </t>
  </si>
  <si>
    <t> 25.02.2014 00:49 </t>
  </si>
  <si>
    <t> 0.00207 </t>
  </si>
  <si>
    <t>R</t>
  </si>
  <si>
    <t>2456725.49983 </t>
  </si>
  <si>
    <t> 08.03.2014 23:59 </t>
  </si>
  <si>
    <t> 0.00169 </t>
  </si>
  <si>
    <t>2456761.397 </t>
  </si>
  <si>
    <t> 13.04.2014 21:31 </t>
  </si>
  <si>
    <t> 0.001 </t>
  </si>
  <si>
    <t>o</t>
  </si>
  <si>
    <t> A.Paschke </t>
  </si>
  <si>
    <t>OEJV 0172 </t>
  </si>
  <si>
    <t>2456768.415 </t>
  </si>
  <si>
    <t> 20.04.2014 21:57 </t>
  </si>
  <si>
    <t>2453761.2818 </t>
  </si>
  <si>
    <t> 25.01.2006 18:45 </t>
  </si>
  <si>
    <t> K. Nagai et al. </t>
  </si>
  <si>
    <t>2453809.1465 </t>
  </si>
  <si>
    <t> 14.03.2006 15:30 </t>
  </si>
  <si>
    <t> 0.0009 </t>
  </si>
  <si>
    <t>2454528.3212 </t>
  </si>
  <si>
    <t> 02.03.2008 19:42 </t>
  </si>
  <si>
    <t> -0.0098 </t>
  </si>
  <si>
    <t>Ic</t>
  </si>
  <si>
    <t> K.Nakajima </t>
  </si>
  <si>
    <t>2455280.5232 </t>
  </si>
  <si>
    <t> 25.03.2010 00:33 </t>
  </si>
  <si>
    <t> -0.0023 </t>
  </si>
  <si>
    <t> R.Kocián </t>
  </si>
  <si>
    <t>OEJV 0137 </t>
  </si>
  <si>
    <t>RHN 2021</t>
  </si>
  <si>
    <t>2020JAVSO..48….1</t>
  </si>
  <si>
    <t>JBAV, 55</t>
  </si>
  <si>
    <t>VSB, 91</t>
  </si>
  <si>
    <t>JBAV, 63</t>
  </si>
  <si>
    <t>OEJV 226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</si>
</sst>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\ h:mm"/>
    <numFmt numFmtId="166" formatCode="0.0000"/>
    <numFmt numFmtId="167" formatCode="0.000"/>
    <numFmt numFmtId="168" formatCode="d/mm/yyyy;@"/>
    <numFmt numFmtId="169" formatCode="0.00000"/>
  </numFmts>
  <fonts count="21" x14ac:knownFonts="1">
    <font>
      <sz val="10"/>
      <name val="Arial"/>
      <family val="2"/>
    </font>
    <font>
      <sz val="12"/>
      <color indexed="8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b/>
      <vertAlign val="superscript"/>
      <sz val="10"/>
      <name val="Arial"/>
      <family val="2"/>
    </font>
    <font>
      <b/>
      <sz val="10"/>
      <color indexed="14"/>
      <name val="Arial"/>
      <family val="2"/>
    </font>
    <font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color indexed="16"/>
      <name val="Arial"/>
      <family val="2"/>
    </font>
    <font>
      <i/>
      <sz val="10"/>
      <color indexed="8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b/>
      <sz val="12"/>
      <color indexed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19" fillId="0" borderId="0" applyFill="0" applyBorder="0" applyProtection="0">
      <alignment vertical="top"/>
    </xf>
    <xf numFmtId="164" fontId="19" fillId="0" borderId="0" applyFill="0" applyBorder="0" applyProtection="0">
      <alignment vertical="top"/>
    </xf>
    <xf numFmtId="0" fontId="19" fillId="0" borderId="0" applyFill="0" applyBorder="0" applyProtection="0">
      <alignment vertical="top"/>
    </xf>
    <xf numFmtId="2" fontId="19" fillId="0" borderId="0" applyFill="0" applyBorder="0" applyProtection="0">
      <alignment vertical="top"/>
    </xf>
    <xf numFmtId="0" fontId="18" fillId="0" borderId="0" applyNumberFormat="0" applyFill="0" applyBorder="0" applyProtection="0">
      <alignment vertical="top"/>
    </xf>
    <xf numFmtId="0" fontId="1" fillId="0" borderId="0"/>
    <xf numFmtId="0" fontId="19" fillId="0" borderId="0"/>
    <xf numFmtId="0" fontId="19" fillId="0" borderId="0"/>
  </cellStyleXfs>
  <cellXfs count="86">
    <xf numFmtId="0" fontId="0" fillId="0" borderId="0" xfId="0">
      <alignment vertical="top"/>
    </xf>
    <xf numFmtId="0" fontId="0" fillId="0" borderId="0" xfId="0" applyAlignment="1"/>
    <xf numFmtId="0" fontId="0" fillId="0" borderId="0" xfId="0" applyAlignment="1">
      <alignment horizontal="center"/>
    </xf>
    <xf numFmtId="0" fontId="2" fillId="0" borderId="0" xfId="0" applyFont="1" applyAlignment="1"/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2" xfId="0" applyFont="1" applyBorder="1" applyAlignment="1">
      <alignment horizontal="left"/>
    </xf>
    <xf numFmtId="0" fontId="3" fillId="0" borderId="0" xfId="0" applyFont="1" applyAlignment="1"/>
    <xf numFmtId="0" fontId="0" fillId="0" borderId="3" xfId="0" applyBorder="1" applyAlignment="1"/>
    <xf numFmtId="0" fontId="0" fillId="0" borderId="4" xfId="0" applyBorder="1" applyAlignment="1"/>
    <xf numFmtId="0" fontId="5" fillId="0" borderId="0" xfId="0" applyFont="1">
      <alignment vertical="top"/>
    </xf>
    <xf numFmtId="0" fontId="6" fillId="0" borderId="0" xfId="0" applyFont="1">
      <alignment vertical="top"/>
    </xf>
    <xf numFmtId="0" fontId="7" fillId="0" borderId="0" xfId="0" applyFont="1">
      <alignment vertical="top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8" fillId="0" borderId="0" xfId="0" applyFont="1">
      <alignment vertical="top"/>
    </xf>
    <xf numFmtId="0" fontId="0" fillId="0" borderId="5" xfId="0" applyBorder="1" applyAlignment="1"/>
    <xf numFmtId="0" fontId="0" fillId="0" borderId="6" xfId="0" applyBorder="1" applyAlignment="1"/>
    <xf numFmtId="11" fontId="0" fillId="0" borderId="0" xfId="0" applyNumberFormat="1" applyAlignment="1"/>
    <xf numFmtId="0" fontId="0" fillId="0" borderId="7" xfId="0" applyBorder="1" applyAlignment="1"/>
    <xf numFmtId="0" fontId="3" fillId="0" borderId="0" xfId="0" applyFont="1">
      <alignment vertical="top"/>
    </xf>
    <xf numFmtId="0" fontId="8" fillId="0" borderId="0" xfId="0" applyFont="1" applyAlignment="1">
      <alignment horizontal="center"/>
    </xf>
    <xf numFmtId="0" fontId="0" fillId="0" borderId="8" xfId="0" applyBorder="1" applyAlignment="1"/>
    <xf numFmtId="0" fontId="0" fillId="0" borderId="9" xfId="0" applyBorder="1" applyAlignment="1"/>
    <xf numFmtId="0" fontId="0" fillId="0" borderId="10" xfId="0" applyBorder="1" applyAlignment="1"/>
    <xf numFmtId="0" fontId="0" fillId="0" borderId="11" xfId="0" applyBorder="1" applyAlignment="1"/>
    <xf numFmtId="165" fontId="8" fillId="0" borderId="0" xfId="0" applyNumberFormat="1" applyFont="1">
      <alignment vertical="top"/>
    </xf>
    <xf numFmtId="0" fontId="5" fillId="0" borderId="1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66" fontId="0" fillId="0" borderId="0" xfId="0" applyNumberFormat="1" applyAlignment="1">
      <alignment horizontal="left"/>
    </xf>
    <xf numFmtId="0" fontId="4" fillId="0" borderId="0" xfId="0" applyFont="1" applyAlignment="1"/>
    <xf numFmtId="0" fontId="7" fillId="0" borderId="0" xfId="0" applyFont="1" applyAlignment="1"/>
    <xf numFmtId="0" fontId="11" fillId="0" borderId="0" xfId="0" applyFont="1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165" fontId="12" fillId="0" borderId="0" xfId="0" applyNumberFormat="1" applyFont="1" applyAlignment="1"/>
    <xf numFmtId="0" fontId="4" fillId="0" borderId="0" xfId="0" applyFont="1" applyAlignment="1">
      <alignment horizontal="center"/>
    </xf>
    <xf numFmtId="167" fontId="4" fillId="0" borderId="0" xfId="0" applyNumberFormat="1" applyFont="1" applyAlignment="1">
      <alignment horizontal="left"/>
    </xf>
    <xf numFmtId="0" fontId="13" fillId="0" borderId="0" xfId="0" applyFont="1" applyAlignment="1"/>
    <xf numFmtId="0" fontId="13" fillId="0" borderId="0" xfId="0" applyFont="1" applyAlignment="1">
      <alignment horizontal="center"/>
    </xf>
    <xf numFmtId="0" fontId="1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4" fillId="0" borderId="0" xfId="0" applyFont="1" applyAlignment="1">
      <alignment horizontal="left" wrapText="1"/>
    </xf>
    <xf numFmtId="0" fontId="4" fillId="0" borderId="0" xfId="0" applyFont="1">
      <alignment vertical="top"/>
    </xf>
    <xf numFmtId="0" fontId="14" fillId="0" borderId="0" xfId="0" applyFont="1" applyAlignment="1">
      <alignment horizontal="left" vertical="top"/>
    </xf>
    <xf numFmtId="0" fontId="4" fillId="0" borderId="0" xfId="0" applyFont="1" applyAlignment="1">
      <alignment horizontal="center" vertical="top"/>
    </xf>
    <xf numFmtId="167" fontId="4" fillId="0" borderId="0" xfId="0" applyNumberFormat="1" applyFont="1" applyAlignment="1">
      <alignment horizontal="left" vertical="top"/>
    </xf>
    <xf numFmtId="0" fontId="15" fillId="0" borderId="0" xfId="7" applyFont="1" applyAlignment="1">
      <alignment horizontal="left" vertical="center"/>
    </xf>
    <xf numFmtId="0" fontId="15" fillId="0" borderId="0" xfId="7" applyFont="1" applyAlignment="1">
      <alignment horizontal="center" vertical="center"/>
    </xf>
    <xf numFmtId="0" fontId="4" fillId="0" borderId="0" xfId="6" applyFont="1" applyAlignment="1">
      <alignment horizontal="left"/>
    </xf>
    <xf numFmtId="0" fontId="4" fillId="0" borderId="0" xfId="6" applyFont="1" applyAlignment="1">
      <alignment horizontal="center"/>
    </xf>
    <xf numFmtId="0" fontId="16" fillId="0" borderId="0" xfId="8" applyFont="1" applyAlignment="1">
      <alignment horizontal="left"/>
    </xf>
    <xf numFmtId="0" fontId="16" fillId="0" borderId="0" xfId="8" applyFont="1" applyAlignment="1">
      <alignment horizontal="center"/>
    </xf>
    <xf numFmtId="0" fontId="13" fillId="0" borderId="0" xfId="6" applyFont="1"/>
    <xf numFmtId="0" fontId="13" fillId="0" borderId="0" xfId="6" applyFont="1" applyAlignment="1">
      <alignment horizontal="center"/>
    </xf>
    <xf numFmtId="0" fontId="13" fillId="0" borderId="0" xfId="6" applyFont="1" applyAlignment="1">
      <alignment horizontal="left"/>
    </xf>
    <xf numFmtId="0" fontId="8" fillId="0" borderId="0" xfId="6" applyFont="1" applyAlignment="1">
      <alignment horizontal="left"/>
    </xf>
    <xf numFmtId="0" fontId="16" fillId="0" borderId="0" xfId="6" applyFont="1"/>
    <xf numFmtId="0" fontId="16" fillId="0" borderId="0" xfId="6" applyFont="1" applyAlignment="1">
      <alignment horizontal="center"/>
    </xf>
    <xf numFmtId="0" fontId="16" fillId="0" borderId="0" xfId="6" applyFont="1" applyAlignment="1">
      <alignment horizontal="left"/>
    </xf>
    <xf numFmtId="0" fontId="17" fillId="0" borderId="0" xfId="0" applyFont="1" applyAlignment="1">
      <alignment horizontal="left"/>
    </xf>
    <xf numFmtId="0" fontId="0" fillId="0" borderId="12" xfId="0" applyBorder="1" applyAlignment="1">
      <alignment horizontal="center"/>
    </xf>
    <xf numFmtId="0" fontId="0" fillId="0" borderId="13" xfId="0" applyBorder="1">
      <alignment vertical="top"/>
    </xf>
    <xf numFmtId="0" fontId="0" fillId="0" borderId="14" xfId="0" applyBorder="1" applyAlignment="1">
      <alignment horizontal="center"/>
    </xf>
    <xf numFmtId="0" fontId="0" fillId="0" borderId="15" xfId="0" applyBorder="1">
      <alignment vertical="top"/>
    </xf>
    <xf numFmtId="0" fontId="18" fillId="0" borderId="0" xfId="5" applyNumberFormat="1" applyFill="1" applyBorder="1" applyAlignment="1" applyProtection="1">
      <alignment horizontal="left"/>
    </xf>
    <xf numFmtId="0" fontId="0" fillId="0" borderId="16" xfId="0" applyBorder="1" applyAlignment="1">
      <alignment horizontal="center"/>
    </xf>
    <xf numFmtId="0" fontId="0" fillId="0" borderId="17" xfId="0" applyBorder="1">
      <alignment vertical="top"/>
    </xf>
    <xf numFmtId="0" fontId="4" fillId="2" borderId="18" xfId="0" applyFont="1" applyFill="1" applyBorder="1" applyAlignment="1">
      <alignment horizontal="left" vertical="top" wrapText="1" indent="1"/>
    </xf>
    <xf numFmtId="0" fontId="4" fillId="2" borderId="18" xfId="0" applyFont="1" applyFill="1" applyBorder="1" applyAlignment="1">
      <alignment horizontal="center" vertical="top" wrapText="1"/>
    </xf>
    <xf numFmtId="0" fontId="4" fillId="2" borderId="18" xfId="0" applyFont="1" applyFill="1" applyBorder="1" applyAlignment="1">
      <alignment horizontal="right" vertical="top" wrapText="1"/>
    </xf>
    <xf numFmtId="0" fontId="18" fillId="2" borderId="18" xfId="5" applyNumberFormat="1" applyFill="1" applyBorder="1" applyAlignment="1" applyProtection="1">
      <alignment horizontal="right" vertical="top" wrapText="1"/>
    </xf>
    <xf numFmtId="168" fontId="0" fillId="0" borderId="0" xfId="0" applyNumberFormat="1" applyAlignment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Alignment="1" applyProtection="1">
      <alignment vertical="center" wrapText="1"/>
      <protection locked="0"/>
    </xf>
    <xf numFmtId="0" fontId="20" fillId="0" borderId="0" xfId="0" applyFont="1" applyAlignment="1">
      <alignment horizontal="center"/>
    </xf>
    <xf numFmtId="166" fontId="20" fillId="0" borderId="0" xfId="0" applyNumberFormat="1" applyFont="1" applyAlignment="1">
      <alignment horizontal="left"/>
    </xf>
    <xf numFmtId="0" fontId="20" fillId="0" borderId="0" xfId="0" applyFont="1" applyAlignment="1">
      <alignment horizontal="left"/>
    </xf>
    <xf numFmtId="169" fontId="20" fillId="0" borderId="0" xfId="0" applyNumberFormat="1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  <cellStyle name="Normal_A_A" xfId="8" xr:uid="{00000000-0005-0000-0000-000008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II UMa - O-C Diagr.</a:t>
            </a:r>
          </a:p>
        </c:rich>
      </c:tx>
      <c:layout>
        <c:manualLayout>
          <c:xMode val="edge"/>
          <c:yMode val="edge"/>
          <c:x val="0.38287594503029609"/>
          <c:y val="1.56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0625"/>
          <c:w val="0.82229467126182543"/>
          <c:h val="0.63437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Active!$F$21:$F$946</c:f>
              <c:numCache>
                <c:formatCode>General</c:formatCode>
                <c:ptCount val="926"/>
                <c:pt idx="0">
                  <c:v>0</c:v>
                </c:pt>
                <c:pt idx="1">
                  <c:v>3723.5</c:v>
                </c:pt>
                <c:pt idx="2">
                  <c:v>3772</c:v>
                </c:pt>
                <c:pt idx="3">
                  <c:v>5028.5</c:v>
                </c:pt>
                <c:pt idx="4">
                  <c:v>5118</c:v>
                </c:pt>
                <c:pt idx="5">
                  <c:v>5531</c:v>
                </c:pt>
                <c:pt idx="6">
                  <c:v>5552</c:v>
                </c:pt>
                <c:pt idx="7">
                  <c:v>6375.5</c:v>
                </c:pt>
                <c:pt idx="8">
                  <c:v>6433.5</c:v>
                </c:pt>
                <c:pt idx="9">
                  <c:v>7305</c:v>
                </c:pt>
                <c:pt idx="10">
                  <c:v>7815.5</c:v>
                </c:pt>
                <c:pt idx="11">
                  <c:v>8157.5</c:v>
                </c:pt>
                <c:pt idx="12">
                  <c:v>8216.5</c:v>
                </c:pt>
                <c:pt idx="13">
                  <c:v>9158</c:v>
                </c:pt>
                <c:pt idx="14">
                  <c:v>9475.5</c:v>
                </c:pt>
                <c:pt idx="15">
                  <c:v>9953</c:v>
                </c:pt>
                <c:pt idx="16">
                  <c:v>9967.5</c:v>
                </c:pt>
                <c:pt idx="17">
                  <c:v>10011</c:v>
                </c:pt>
                <c:pt idx="18">
                  <c:v>10019.5</c:v>
                </c:pt>
                <c:pt idx="19">
                  <c:v>10381</c:v>
                </c:pt>
                <c:pt idx="20">
                  <c:v>10436</c:v>
                </c:pt>
                <c:pt idx="21">
                  <c:v>10880.5</c:v>
                </c:pt>
                <c:pt idx="22">
                  <c:v>10903</c:v>
                </c:pt>
                <c:pt idx="23">
                  <c:v>10919</c:v>
                </c:pt>
                <c:pt idx="24">
                  <c:v>11751.5</c:v>
                </c:pt>
                <c:pt idx="25">
                  <c:v>12189</c:v>
                </c:pt>
                <c:pt idx="26">
                  <c:v>13123</c:v>
                </c:pt>
                <c:pt idx="27">
                  <c:v>13395</c:v>
                </c:pt>
                <c:pt idx="28">
                  <c:v>13416</c:v>
                </c:pt>
                <c:pt idx="29">
                  <c:v>13424</c:v>
                </c:pt>
                <c:pt idx="30">
                  <c:v>13541</c:v>
                </c:pt>
                <c:pt idx="31">
                  <c:v>13555.5</c:v>
                </c:pt>
              </c:numCache>
            </c:numRef>
          </c:xVal>
          <c:yVal>
            <c:numRef>
              <c:f>Active!$H$21:$H$946</c:f>
              <c:numCache>
                <c:formatCode>General</c:formatCode>
                <c:ptCount val="926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3F8-4D6B-B09E-A3B3494C10B1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Active!$F$21:$F$946</c:f>
              <c:numCache>
                <c:formatCode>General</c:formatCode>
                <c:ptCount val="926"/>
                <c:pt idx="0">
                  <c:v>0</c:v>
                </c:pt>
                <c:pt idx="1">
                  <c:v>3723.5</c:v>
                </c:pt>
                <c:pt idx="2">
                  <c:v>3772</c:v>
                </c:pt>
                <c:pt idx="3">
                  <c:v>5028.5</c:v>
                </c:pt>
                <c:pt idx="4">
                  <c:v>5118</c:v>
                </c:pt>
                <c:pt idx="5">
                  <c:v>5531</c:v>
                </c:pt>
                <c:pt idx="6">
                  <c:v>5552</c:v>
                </c:pt>
                <c:pt idx="7">
                  <c:v>6375.5</c:v>
                </c:pt>
                <c:pt idx="8">
                  <c:v>6433.5</c:v>
                </c:pt>
                <c:pt idx="9">
                  <c:v>7305</c:v>
                </c:pt>
                <c:pt idx="10">
                  <c:v>7815.5</c:v>
                </c:pt>
                <c:pt idx="11">
                  <c:v>8157.5</c:v>
                </c:pt>
                <c:pt idx="12">
                  <c:v>8216.5</c:v>
                </c:pt>
                <c:pt idx="13">
                  <c:v>9158</c:v>
                </c:pt>
                <c:pt idx="14">
                  <c:v>9475.5</c:v>
                </c:pt>
                <c:pt idx="15">
                  <c:v>9953</c:v>
                </c:pt>
                <c:pt idx="16">
                  <c:v>9967.5</c:v>
                </c:pt>
                <c:pt idx="17">
                  <c:v>10011</c:v>
                </c:pt>
                <c:pt idx="18">
                  <c:v>10019.5</c:v>
                </c:pt>
                <c:pt idx="19">
                  <c:v>10381</c:v>
                </c:pt>
                <c:pt idx="20">
                  <c:v>10436</c:v>
                </c:pt>
                <c:pt idx="21">
                  <c:v>10880.5</c:v>
                </c:pt>
                <c:pt idx="22">
                  <c:v>10903</c:v>
                </c:pt>
                <c:pt idx="23">
                  <c:v>10919</c:v>
                </c:pt>
                <c:pt idx="24">
                  <c:v>11751.5</c:v>
                </c:pt>
                <c:pt idx="25">
                  <c:v>12189</c:v>
                </c:pt>
                <c:pt idx="26">
                  <c:v>13123</c:v>
                </c:pt>
                <c:pt idx="27">
                  <c:v>13395</c:v>
                </c:pt>
                <c:pt idx="28">
                  <c:v>13416</c:v>
                </c:pt>
                <c:pt idx="29">
                  <c:v>13424</c:v>
                </c:pt>
                <c:pt idx="30">
                  <c:v>13541</c:v>
                </c:pt>
                <c:pt idx="31">
                  <c:v>13555.5</c:v>
                </c:pt>
              </c:numCache>
            </c:numRef>
          </c:xVal>
          <c:yVal>
            <c:numRef>
              <c:f>Active!$I$21:$I$946</c:f>
              <c:numCache>
                <c:formatCode>General</c:formatCode>
                <c:ptCount val="926"/>
                <c:pt idx="1">
                  <c:v>2.9300000023795292E-3</c:v>
                </c:pt>
                <c:pt idx="2">
                  <c:v>1.0600000023259781E-3</c:v>
                </c:pt>
                <c:pt idx="17">
                  <c:v>3.657999999995809E-2</c:v>
                </c:pt>
                <c:pt idx="18">
                  <c:v>4.0209999999206048E-2</c:v>
                </c:pt>
                <c:pt idx="22">
                  <c:v>5.2340000002004672E-2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3F8-4D6B-B09E-A3B3494C10B1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Active!$F$21:$F$946</c:f>
              <c:numCache>
                <c:formatCode>General</c:formatCode>
                <c:ptCount val="926"/>
                <c:pt idx="0">
                  <c:v>0</c:v>
                </c:pt>
                <c:pt idx="1">
                  <c:v>3723.5</c:v>
                </c:pt>
                <c:pt idx="2">
                  <c:v>3772</c:v>
                </c:pt>
                <c:pt idx="3">
                  <c:v>5028.5</c:v>
                </c:pt>
                <c:pt idx="4">
                  <c:v>5118</c:v>
                </c:pt>
                <c:pt idx="5">
                  <c:v>5531</c:v>
                </c:pt>
                <c:pt idx="6">
                  <c:v>5552</c:v>
                </c:pt>
                <c:pt idx="7">
                  <c:v>6375.5</c:v>
                </c:pt>
                <c:pt idx="8">
                  <c:v>6433.5</c:v>
                </c:pt>
                <c:pt idx="9">
                  <c:v>7305</c:v>
                </c:pt>
                <c:pt idx="10">
                  <c:v>7815.5</c:v>
                </c:pt>
                <c:pt idx="11">
                  <c:v>8157.5</c:v>
                </c:pt>
                <c:pt idx="12">
                  <c:v>8216.5</c:v>
                </c:pt>
                <c:pt idx="13">
                  <c:v>9158</c:v>
                </c:pt>
                <c:pt idx="14">
                  <c:v>9475.5</c:v>
                </c:pt>
                <c:pt idx="15">
                  <c:v>9953</c:v>
                </c:pt>
                <c:pt idx="16">
                  <c:v>9967.5</c:v>
                </c:pt>
                <c:pt idx="17">
                  <c:v>10011</c:v>
                </c:pt>
                <c:pt idx="18">
                  <c:v>10019.5</c:v>
                </c:pt>
                <c:pt idx="19">
                  <c:v>10381</c:v>
                </c:pt>
                <c:pt idx="20">
                  <c:v>10436</c:v>
                </c:pt>
                <c:pt idx="21">
                  <c:v>10880.5</c:v>
                </c:pt>
                <c:pt idx="22">
                  <c:v>10903</c:v>
                </c:pt>
                <c:pt idx="23">
                  <c:v>10919</c:v>
                </c:pt>
                <c:pt idx="24">
                  <c:v>11751.5</c:v>
                </c:pt>
                <c:pt idx="25">
                  <c:v>12189</c:v>
                </c:pt>
                <c:pt idx="26">
                  <c:v>13123</c:v>
                </c:pt>
                <c:pt idx="27">
                  <c:v>13395</c:v>
                </c:pt>
                <c:pt idx="28">
                  <c:v>13416</c:v>
                </c:pt>
                <c:pt idx="29">
                  <c:v>13424</c:v>
                </c:pt>
                <c:pt idx="30">
                  <c:v>13541</c:v>
                </c:pt>
                <c:pt idx="31">
                  <c:v>13555.5</c:v>
                </c:pt>
              </c:numCache>
            </c:numRef>
          </c:xVal>
          <c:yVal>
            <c:numRef>
              <c:f>Active!$J$21:$J$946</c:f>
              <c:numCache>
                <c:formatCode>General</c:formatCode>
                <c:ptCount val="926"/>
                <c:pt idx="3">
                  <c:v>3.8300000014714897E-3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3F8-4D6B-B09E-A3B3494C10B1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Active!$F$21:$F$946</c:f>
              <c:numCache>
                <c:formatCode>General</c:formatCode>
                <c:ptCount val="926"/>
                <c:pt idx="0">
                  <c:v>0</c:v>
                </c:pt>
                <c:pt idx="1">
                  <c:v>3723.5</c:v>
                </c:pt>
                <c:pt idx="2">
                  <c:v>3772</c:v>
                </c:pt>
                <c:pt idx="3">
                  <c:v>5028.5</c:v>
                </c:pt>
                <c:pt idx="4">
                  <c:v>5118</c:v>
                </c:pt>
                <c:pt idx="5">
                  <c:v>5531</c:v>
                </c:pt>
                <c:pt idx="6">
                  <c:v>5552</c:v>
                </c:pt>
                <c:pt idx="7">
                  <c:v>6375.5</c:v>
                </c:pt>
                <c:pt idx="8">
                  <c:v>6433.5</c:v>
                </c:pt>
                <c:pt idx="9">
                  <c:v>7305</c:v>
                </c:pt>
                <c:pt idx="10">
                  <c:v>7815.5</c:v>
                </c:pt>
                <c:pt idx="11">
                  <c:v>8157.5</c:v>
                </c:pt>
                <c:pt idx="12">
                  <c:v>8216.5</c:v>
                </c:pt>
                <c:pt idx="13">
                  <c:v>9158</c:v>
                </c:pt>
                <c:pt idx="14">
                  <c:v>9475.5</c:v>
                </c:pt>
                <c:pt idx="15">
                  <c:v>9953</c:v>
                </c:pt>
                <c:pt idx="16">
                  <c:v>9967.5</c:v>
                </c:pt>
                <c:pt idx="17">
                  <c:v>10011</c:v>
                </c:pt>
                <c:pt idx="18">
                  <c:v>10019.5</c:v>
                </c:pt>
                <c:pt idx="19">
                  <c:v>10381</c:v>
                </c:pt>
                <c:pt idx="20">
                  <c:v>10436</c:v>
                </c:pt>
                <c:pt idx="21">
                  <c:v>10880.5</c:v>
                </c:pt>
                <c:pt idx="22">
                  <c:v>10903</c:v>
                </c:pt>
                <c:pt idx="23">
                  <c:v>10919</c:v>
                </c:pt>
                <c:pt idx="24">
                  <c:v>11751.5</c:v>
                </c:pt>
                <c:pt idx="25">
                  <c:v>12189</c:v>
                </c:pt>
                <c:pt idx="26">
                  <c:v>13123</c:v>
                </c:pt>
                <c:pt idx="27">
                  <c:v>13395</c:v>
                </c:pt>
                <c:pt idx="28">
                  <c:v>13416</c:v>
                </c:pt>
                <c:pt idx="29">
                  <c:v>13424</c:v>
                </c:pt>
                <c:pt idx="30">
                  <c:v>13541</c:v>
                </c:pt>
                <c:pt idx="31">
                  <c:v>13555.5</c:v>
                </c:pt>
              </c:numCache>
            </c:numRef>
          </c:xVal>
          <c:yVal>
            <c:numRef>
              <c:f>Active!$K$21:$K$946</c:f>
              <c:numCache>
                <c:formatCode>General</c:formatCode>
                <c:ptCount val="926"/>
                <c:pt idx="4">
                  <c:v>6.4400000046589412E-3</c:v>
                </c:pt>
                <c:pt idx="5">
                  <c:v>2.9800000047544017E-3</c:v>
                </c:pt>
                <c:pt idx="6">
                  <c:v>8.5600000020349398E-3</c:v>
                </c:pt>
                <c:pt idx="7">
                  <c:v>8.6900000023888424E-3</c:v>
                </c:pt>
                <c:pt idx="8">
                  <c:v>1.0630000004312024E-2</c:v>
                </c:pt>
                <c:pt idx="9">
                  <c:v>6.0999999986961484E-3</c:v>
                </c:pt>
                <c:pt idx="11">
                  <c:v>2.1350000002712477E-2</c:v>
                </c:pt>
                <c:pt idx="12">
                  <c:v>2.0110000004933681E-2</c:v>
                </c:pt>
                <c:pt idx="13">
                  <c:v>2.7570000005653128E-2</c:v>
                </c:pt>
                <c:pt idx="14">
                  <c:v>3.1300000002374873E-2</c:v>
                </c:pt>
                <c:pt idx="15">
                  <c:v>3.6760000002686866E-2</c:v>
                </c:pt>
                <c:pt idx="16">
                  <c:v>3.6480000002484303E-2</c:v>
                </c:pt>
                <c:pt idx="19">
                  <c:v>4.417999999714084E-2</c:v>
                </c:pt>
                <c:pt idx="20">
                  <c:v>4.1579999997338746E-2</c:v>
                </c:pt>
                <c:pt idx="21">
                  <c:v>5.1190000005590264E-2</c:v>
                </c:pt>
                <c:pt idx="23">
                  <c:v>5.1520000000891741E-2</c:v>
                </c:pt>
                <c:pt idx="24">
                  <c:v>6.3649999974586535E-2</c:v>
                </c:pt>
                <c:pt idx="25">
                  <c:v>6.9361740155727603E-2</c:v>
                </c:pt>
                <c:pt idx="26">
                  <c:v>9.294000017689541E-2</c:v>
                </c:pt>
                <c:pt idx="28">
                  <c:v>9.0580000018235296E-2</c:v>
                </c:pt>
                <c:pt idx="29">
                  <c:v>9.0620000002672896E-2</c:v>
                </c:pt>
                <c:pt idx="30">
                  <c:v>9.29800000085379E-2</c:v>
                </c:pt>
                <c:pt idx="31">
                  <c:v>0.10229000000254018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3F8-4D6B-B09E-A3B3494C10B1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Active!$F$21:$F$946</c:f>
              <c:numCache>
                <c:formatCode>General</c:formatCode>
                <c:ptCount val="926"/>
                <c:pt idx="0">
                  <c:v>0</c:v>
                </c:pt>
                <c:pt idx="1">
                  <c:v>3723.5</c:v>
                </c:pt>
                <c:pt idx="2">
                  <c:v>3772</c:v>
                </c:pt>
                <c:pt idx="3">
                  <c:v>5028.5</c:v>
                </c:pt>
                <c:pt idx="4">
                  <c:v>5118</c:v>
                </c:pt>
                <c:pt idx="5">
                  <c:v>5531</c:v>
                </c:pt>
                <c:pt idx="6">
                  <c:v>5552</c:v>
                </c:pt>
                <c:pt idx="7">
                  <c:v>6375.5</c:v>
                </c:pt>
                <c:pt idx="8">
                  <c:v>6433.5</c:v>
                </c:pt>
                <c:pt idx="9">
                  <c:v>7305</c:v>
                </c:pt>
                <c:pt idx="10">
                  <c:v>7815.5</c:v>
                </c:pt>
                <c:pt idx="11">
                  <c:v>8157.5</c:v>
                </c:pt>
                <c:pt idx="12">
                  <c:v>8216.5</c:v>
                </c:pt>
                <c:pt idx="13">
                  <c:v>9158</c:v>
                </c:pt>
                <c:pt idx="14">
                  <c:v>9475.5</c:v>
                </c:pt>
                <c:pt idx="15">
                  <c:v>9953</c:v>
                </c:pt>
                <c:pt idx="16">
                  <c:v>9967.5</c:v>
                </c:pt>
                <c:pt idx="17">
                  <c:v>10011</c:v>
                </c:pt>
                <c:pt idx="18">
                  <c:v>10019.5</c:v>
                </c:pt>
                <c:pt idx="19">
                  <c:v>10381</c:v>
                </c:pt>
                <c:pt idx="20">
                  <c:v>10436</c:v>
                </c:pt>
                <c:pt idx="21">
                  <c:v>10880.5</c:v>
                </c:pt>
                <c:pt idx="22">
                  <c:v>10903</c:v>
                </c:pt>
                <c:pt idx="23">
                  <c:v>10919</c:v>
                </c:pt>
                <c:pt idx="24">
                  <c:v>11751.5</c:v>
                </c:pt>
                <c:pt idx="25">
                  <c:v>12189</c:v>
                </c:pt>
                <c:pt idx="26">
                  <c:v>13123</c:v>
                </c:pt>
                <c:pt idx="27">
                  <c:v>13395</c:v>
                </c:pt>
                <c:pt idx="28">
                  <c:v>13416</c:v>
                </c:pt>
                <c:pt idx="29">
                  <c:v>13424</c:v>
                </c:pt>
                <c:pt idx="30">
                  <c:v>13541</c:v>
                </c:pt>
                <c:pt idx="31">
                  <c:v>13555.5</c:v>
                </c:pt>
              </c:numCache>
            </c:numRef>
          </c:xVal>
          <c:yVal>
            <c:numRef>
              <c:f>Active!$L$21:$L$946</c:f>
              <c:numCache>
                <c:formatCode>General</c:formatCode>
                <c:ptCount val="9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3F8-4D6B-B09E-A3B3494C10B1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3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xVal>
            <c:numRef>
              <c:f>Active!$F$21:$F$46</c:f>
              <c:numCache>
                <c:formatCode>General</c:formatCode>
                <c:ptCount val="26"/>
                <c:pt idx="0">
                  <c:v>0</c:v>
                </c:pt>
                <c:pt idx="1">
                  <c:v>3723.5</c:v>
                </c:pt>
                <c:pt idx="2">
                  <c:v>3772</c:v>
                </c:pt>
                <c:pt idx="3">
                  <c:v>5028.5</c:v>
                </c:pt>
                <c:pt idx="4">
                  <c:v>5118</c:v>
                </c:pt>
                <c:pt idx="5">
                  <c:v>5531</c:v>
                </c:pt>
                <c:pt idx="6">
                  <c:v>5552</c:v>
                </c:pt>
                <c:pt idx="7">
                  <c:v>6375.5</c:v>
                </c:pt>
                <c:pt idx="8">
                  <c:v>6433.5</c:v>
                </c:pt>
                <c:pt idx="9">
                  <c:v>7305</c:v>
                </c:pt>
                <c:pt idx="10">
                  <c:v>7815.5</c:v>
                </c:pt>
                <c:pt idx="11">
                  <c:v>8157.5</c:v>
                </c:pt>
                <c:pt idx="12">
                  <c:v>8216.5</c:v>
                </c:pt>
                <c:pt idx="13">
                  <c:v>9158</c:v>
                </c:pt>
                <c:pt idx="14">
                  <c:v>9475.5</c:v>
                </c:pt>
                <c:pt idx="15">
                  <c:v>9953</c:v>
                </c:pt>
                <c:pt idx="16">
                  <c:v>9967.5</c:v>
                </c:pt>
                <c:pt idx="17">
                  <c:v>10011</c:v>
                </c:pt>
                <c:pt idx="18">
                  <c:v>10019.5</c:v>
                </c:pt>
                <c:pt idx="19">
                  <c:v>10381</c:v>
                </c:pt>
                <c:pt idx="20">
                  <c:v>10436</c:v>
                </c:pt>
                <c:pt idx="21">
                  <c:v>10880.5</c:v>
                </c:pt>
                <c:pt idx="22">
                  <c:v>10903</c:v>
                </c:pt>
                <c:pt idx="23">
                  <c:v>10919</c:v>
                </c:pt>
                <c:pt idx="24">
                  <c:v>11751.5</c:v>
                </c:pt>
                <c:pt idx="25">
                  <c:v>12189</c:v>
                </c:pt>
              </c:numCache>
            </c:numRef>
          </c:xVal>
          <c:yVal>
            <c:numRef>
              <c:f>Active!$M$21:$M$46</c:f>
              <c:numCache>
                <c:formatCode>General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3F8-4D6B-B09E-A3B3494C10B1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Active!$F$21:$F$46</c:f>
              <c:numCache>
                <c:formatCode>General</c:formatCode>
                <c:ptCount val="26"/>
                <c:pt idx="0">
                  <c:v>0</c:v>
                </c:pt>
                <c:pt idx="1">
                  <c:v>3723.5</c:v>
                </c:pt>
                <c:pt idx="2">
                  <c:v>3772</c:v>
                </c:pt>
                <c:pt idx="3">
                  <c:v>5028.5</c:v>
                </c:pt>
                <c:pt idx="4">
                  <c:v>5118</c:v>
                </c:pt>
                <c:pt idx="5">
                  <c:v>5531</c:v>
                </c:pt>
                <c:pt idx="6">
                  <c:v>5552</c:v>
                </c:pt>
                <c:pt idx="7">
                  <c:v>6375.5</c:v>
                </c:pt>
                <c:pt idx="8">
                  <c:v>6433.5</c:v>
                </c:pt>
                <c:pt idx="9">
                  <c:v>7305</c:v>
                </c:pt>
                <c:pt idx="10">
                  <c:v>7815.5</c:v>
                </c:pt>
                <c:pt idx="11">
                  <c:v>8157.5</c:v>
                </c:pt>
                <c:pt idx="12">
                  <c:v>8216.5</c:v>
                </c:pt>
                <c:pt idx="13">
                  <c:v>9158</c:v>
                </c:pt>
                <c:pt idx="14">
                  <c:v>9475.5</c:v>
                </c:pt>
                <c:pt idx="15">
                  <c:v>9953</c:v>
                </c:pt>
                <c:pt idx="16">
                  <c:v>9967.5</c:v>
                </c:pt>
                <c:pt idx="17">
                  <c:v>10011</c:v>
                </c:pt>
                <c:pt idx="18">
                  <c:v>10019.5</c:v>
                </c:pt>
                <c:pt idx="19">
                  <c:v>10381</c:v>
                </c:pt>
                <c:pt idx="20">
                  <c:v>10436</c:v>
                </c:pt>
                <c:pt idx="21">
                  <c:v>10880.5</c:v>
                </c:pt>
                <c:pt idx="22">
                  <c:v>10903</c:v>
                </c:pt>
                <c:pt idx="23">
                  <c:v>10919</c:v>
                </c:pt>
                <c:pt idx="24">
                  <c:v>11751.5</c:v>
                </c:pt>
                <c:pt idx="25">
                  <c:v>12189</c:v>
                </c:pt>
              </c:numCache>
            </c:numRef>
          </c:xVal>
          <c:yVal>
            <c:numRef>
              <c:f>Active!$N$21:$N$46</c:f>
              <c:numCache>
                <c:formatCode>General</c:formatCode>
                <c:ptCount val="26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3F8-4D6B-B09E-A3B3494C10B1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Active!$F$21:$F$946</c:f>
              <c:numCache>
                <c:formatCode>General</c:formatCode>
                <c:ptCount val="926"/>
                <c:pt idx="0">
                  <c:v>0</c:v>
                </c:pt>
                <c:pt idx="1">
                  <c:v>3723.5</c:v>
                </c:pt>
                <c:pt idx="2">
                  <c:v>3772</c:v>
                </c:pt>
                <c:pt idx="3">
                  <c:v>5028.5</c:v>
                </c:pt>
                <c:pt idx="4">
                  <c:v>5118</c:v>
                </c:pt>
                <c:pt idx="5">
                  <c:v>5531</c:v>
                </c:pt>
                <c:pt idx="6">
                  <c:v>5552</c:v>
                </c:pt>
                <c:pt idx="7">
                  <c:v>6375.5</c:v>
                </c:pt>
                <c:pt idx="8">
                  <c:v>6433.5</c:v>
                </c:pt>
                <c:pt idx="9">
                  <c:v>7305</c:v>
                </c:pt>
                <c:pt idx="10">
                  <c:v>7815.5</c:v>
                </c:pt>
                <c:pt idx="11">
                  <c:v>8157.5</c:v>
                </c:pt>
                <c:pt idx="12">
                  <c:v>8216.5</c:v>
                </c:pt>
                <c:pt idx="13">
                  <c:v>9158</c:v>
                </c:pt>
                <c:pt idx="14">
                  <c:v>9475.5</c:v>
                </c:pt>
                <c:pt idx="15">
                  <c:v>9953</c:v>
                </c:pt>
                <c:pt idx="16">
                  <c:v>9967.5</c:v>
                </c:pt>
                <c:pt idx="17">
                  <c:v>10011</c:v>
                </c:pt>
                <c:pt idx="18">
                  <c:v>10019.5</c:v>
                </c:pt>
                <c:pt idx="19">
                  <c:v>10381</c:v>
                </c:pt>
                <c:pt idx="20">
                  <c:v>10436</c:v>
                </c:pt>
                <c:pt idx="21">
                  <c:v>10880.5</c:v>
                </c:pt>
                <c:pt idx="22">
                  <c:v>10903</c:v>
                </c:pt>
                <c:pt idx="23">
                  <c:v>10919</c:v>
                </c:pt>
                <c:pt idx="24">
                  <c:v>11751.5</c:v>
                </c:pt>
                <c:pt idx="25">
                  <c:v>12189</c:v>
                </c:pt>
                <c:pt idx="26">
                  <c:v>13123</c:v>
                </c:pt>
                <c:pt idx="27">
                  <c:v>13395</c:v>
                </c:pt>
                <c:pt idx="28">
                  <c:v>13416</c:v>
                </c:pt>
                <c:pt idx="29">
                  <c:v>13424</c:v>
                </c:pt>
                <c:pt idx="30">
                  <c:v>13541</c:v>
                </c:pt>
                <c:pt idx="31">
                  <c:v>13555.5</c:v>
                </c:pt>
              </c:numCache>
            </c:numRef>
          </c:xVal>
          <c:yVal>
            <c:numRef>
              <c:f>Active!$O$21:$O$946</c:f>
              <c:numCache>
                <c:formatCode>General</c:formatCode>
                <c:ptCount val="926"/>
                <c:pt idx="0">
                  <c:v>-7.6844394458343637E-2</c:v>
                </c:pt>
                <c:pt idx="1">
                  <c:v>-3.2372978820747925E-2</c:v>
                </c:pt>
                <c:pt idx="2">
                  <c:v>-3.1793721761952866E-2</c:v>
                </c:pt>
                <c:pt idx="3">
                  <c:v>-1.6786783733581979E-2</c:v>
                </c:pt>
                <c:pt idx="4">
                  <c:v>-1.571784544982615E-2</c:v>
                </c:pt>
                <c:pt idx="5">
                  <c:v>-1.0785202866684745E-2</c:v>
                </c:pt>
                <c:pt idx="6">
                  <c:v>-1.053439053194874E-2</c:v>
                </c:pt>
                <c:pt idx="7">
                  <c:v>-6.9896397694402257E-4</c:v>
                </c:pt>
                <c:pt idx="8">
                  <c:v>-6.2441952922015487E-6</c:v>
                </c:pt>
                <c:pt idx="9">
                  <c:v>1.0402467696251957E-2</c:v>
                </c:pt>
                <c:pt idx="10">
                  <c:v>1.6499596119239096E-2</c:v>
                </c:pt>
                <c:pt idx="11">
                  <c:v>2.0584254142082578E-2</c:v>
                </c:pt>
                <c:pt idx="12">
                  <c:v>2.1288917368245633E-2</c:v>
                </c:pt>
                <c:pt idx="13">
                  <c:v>3.2533670375576473E-2</c:v>
                </c:pt>
                <c:pt idx="14">
                  <c:v>3.6325714007894624E-2</c:v>
                </c:pt>
                <c:pt idx="15">
                  <c:v>4.2028708762010897E-2</c:v>
                </c:pt>
                <c:pt idx="16">
                  <c:v>4.2201888707423862E-2</c:v>
                </c:pt>
                <c:pt idx="17">
                  <c:v>4.2721428543662718E-2</c:v>
                </c:pt>
                <c:pt idx="18">
                  <c:v>4.2822947822008253E-2</c:v>
                </c:pt>
                <c:pt idx="19">
                  <c:v>4.7140503012820884E-2</c:v>
                </c:pt>
                <c:pt idx="20">
                  <c:v>4.7797392460938989E-2</c:v>
                </c:pt>
                <c:pt idx="21">
                  <c:v>5.3106253546184409E-2</c:v>
                </c:pt>
                <c:pt idx="22">
                  <c:v>5.3374981047687273E-2</c:v>
                </c:pt>
                <c:pt idx="23">
                  <c:v>5.3566076159867068E-2</c:v>
                </c:pt>
                <c:pt idx="24">
                  <c:v>6.3508993715472931E-2</c:v>
                </c:pt>
                <c:pt idx="25">
                  <c:v>6.8734250689139673E-2</c:v>
                </c:pt>
                <c:pt idx="26">
                  <c:v>7.9889427862636239E-2</c:v>
                </c:pt>
                <c:pt idx="27">
                  <c:v>8.313804476969304E-2</c:v>
                </c:pt>
                <c:pt idx="28">
                  <c:v>8.3388857104429046E-2</c:v>
                </c:pt>
                <c:pt idx="29">
                  <c:v>8.3484404660518943E-2</c:v>
                </c:pt>
                <c:pt idx="30">
                  <c:v>8.4881787668333833E-2</c:v>
                </c:pt>
                <c:pt idx="31">
                  <c:v>8.5054967613746771E-2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3F8-4D6B-B09E-A3B3494C10B1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xVal>
            <c:numRef>
              <c:f>Active!$F$21:$F$46</c:f>
              <c:numCache>
                <c:formatCode>General</c:formatCode>
                <c:ptCount val="26"/>
                <c:pt idx="0">
                  <c:v>0</c:v>
                </c:pt>
                <c:pt idx="1">
                  <c:v>3723.5</c:v>
                </c:pt>
                <c:pt idx="2">
                  <c:v>3772</c:v>
                </c:pt>
                <c:pt idx="3">
                  <c:v>5028.5</c:v>
                </c:pt>
                <c:pt idx="4">
                  <c:v>5118</c:v>
                </c:pt>
                <c:pt idx="5">
                  <c:v>5531</c:v>
                </c:pt>
                <c:pt idx="6">
                  <c:v>5552</c:v>
                </c:pt>
                <c:pt idx="7">
                  <c:v>6375.5</c:v>
                </c:pt>
                <c:pt idx="8">
                  <c:v>6433.5</c:v>
                </c:pt>
                <c:pt idx="9">
                  <c:v>7305</c:v>
                </c:pt>
                <c:pt idx="10">
                  <c:v>7815.5</c:v>
                </c:pt>
                <c:pt idx="11">
                  <c:v>8157.5</c:v>
                </c:pt>
                <c:pt idx="12">
                  <c:v>8216.5</c:v>
                </c:pt>
                <c:pt idx="13">
                  <c:v>9158</c:v>
                </c:pt>
                <c:pt idx="14">
                  <c:v>9475.5</c:v>
                </c:pt>
                <c:pt idx="15">
                  <c:v>9953</c:v>
                </c:pt>
                <c:pt idx="16">
                  <c:v>9967.5</c:v>
                </c:pt>
                <c:pt idx="17">
                  <c:v>10011</c:v>
                </c:pt>
                <c:pt idx="18">
                  <c:v>10019.5</c:v>
                </c:pt>
                <c:pt idx="19">
                  <c:v>10381</c:v>
                </c:pt>
                <c:pt idx="20">
                  <c:v>10436</c:v>
                </c:pt>
                <c:pt idx="21">
                  <c:v>10880.5</c:v>
                </c:pt>
                <c:pt idx="22">
                  <c:v>10903</c:v>
                </c:pt>
                <c:pt idx="23">
                  <c:v>10919</c:v>
                </c:pt>
                <c:pt idx="24">
                  <c:v>11751.5</c:v>
                </c:pt>
                <c:pt idx="25">
                  <c:v>12189</c:v>
                </c:pt>
              </c:numCache>
            </c:numRef>
          </c:xVal>
          <c:yVal>
            <c:numRef>
              <c:f>Active!$U$21:$U$46</c:f>
              <c:numCache>
                <c:formatCode>General</c:formatCode>
                <c:ptCount val="26"/>
                <c:pt idx="10">
                  <c:v>5.0390000003972091E-2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43F8-4D6B-B09E-A3B3494C10B1}"/>
            </c:ext>
          </c:extLst>
        </c:ser>
        <c:ser>
          <c:idx val="9"/>
          <c:order val="9"/>
          <c:tx>
            <c:strRef>
              <c:f>Active!$W$1</c:f>
              <c:strCache>
                <c:ptCount val="1"/>
                <c:pt idx="0">
                  <c:v>Q. Fit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xVal>
            <c:numRef>
              <c:f>Active!$V$2:$V$20</c:f>
              <c:numCache>
                <c:formatCode>General</c:formatCode>
                <c:ptCount val="19"/>
                <c:pt idx="0">
                  <c:v>0</c:v>
                </c:pt>
                <c:pt idx="1">
                  <c:v>1000</c:v>
                </c:pt>
                <c:pt idx="2">
                  <c:v>2000</c:v>
                </c:pt>
                <c:pt idx="3">
                  <c:v>3000</c:v>
                </c:pt>
                <c:pt idx="4">
                  <c:v>4000</c:v>
                </c:pt>
                <c:pt idx="5">
                  <c:v>5000</c:v>
                </c:pt>
                <c:pt idx="6">
                  <c:v>6000</c:v>
                </c:pt>
                <c:pt idx="7">
                  <c:v>7000</c:v>
                </c:pt>
                <c:pt idx="8">
                  <c:v>8000</c:v>
                </c:pt>
                <c:pt idx="9">
                  <c:v>9000</c:v>
                </c:pt>
                <c:pt idx="10">
                  <c:v>10000</c:v>
                </c:pt>
                <c:pt idx="11">
                  <c:v>11000</c:v>
                </c:pt>
                <c:pt idx="12">
                  <c:v>12000</c:v>
                </c:pt>
                <c:pt idx="13">
                  <c:v>13000</c:v>
                </c:pt>
                <c:pt idx="14">
                  <c:v>14000</c:v>
                </c:pt>
              </c:numCache>
            </c:numRef>
          </c:xVal>
          <c:yVal>
            <c:numRef>
              <c:f>Active!$W$2:$W$21</c:f>
              <c:numCache>
                <c:formatCode>General</c:formatCode>
                <c:ptCount val="20"/>
                <c:pt idx="0">
                  <c:v>1.4811819772424371E-2</c:v>
                </c:pt>
                <c:pt idx="1">
                  <c:v>8.6531411431666986E-3</c:v>
                </c:pt>
                <c:pt idx="2">
                  <c:v>4.3899031861965683E-3</c:v>
                </c:pt>
                <c:pt idx="3">
                  <c:v>2.0221059015139795E-3</c:v>
                </c:pt>
                <c:pt idx="4">
                  <c:v>1.5497492891189298E-3</c:v>
                </c:pt>
                <c:pt idx="5">
                  <c:v>2.972833349011425E-3</c:v>
                </c:pt>
                <c:pt idx="6">
                  <c:v>6.2913580811914602E-3</c:v>
                </c:pt>
                <c:pt idx="7">
                  <c:v>1.1505323485659039E-2</c:v>
                </c:pt>
                <c:pt idx="8">
                  <c:v>1.8614729562414147E-2</c:v>
                </c:pt>
                <c:pt idx="9">
                  <c:v>2.7619576311456805E-2</c:v>
                </c:pt>
                <c:pt idx="10">
                  <c:v>3.8519863732787006E-2</c:v>
                </c:pt>
                <c:pt idx="11">
                  <c:v>5.131559182640473E-2</c:v>
                </c:pt>
                <c:pt idx="12">
                  <c:v>6.6006760592310032E-2</c:v>
                </c:pt>
                <c:pt idx="13">
                  <c:v>8.259337003050285E-2</c:v>
                </c:pt>
                <c:pt idx="14">
                  <c:v>0.10107542014098322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9-43F8-4D6B-B09E-A3B3494C10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4912336"/>
        <c:axId val="1"/>
      </c:scatterChart>
      <c:valAx>
        <c:axId val="9349123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311793214862679E-2"/>
              <c:y val="0.362499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93491233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7.7544426494345717E-2"/>
          <c:y val="0.91249999999999998"/>
          <c:w val="0.88368403868740963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0</xdr:row>
      <xdr:rowOff>0</xdr:rowOff>
    </xdr:from>
    <xdr:to>
      <xdr:col>17</xdr:col>
      <xdr:colOff>133350</xdr:colOff>
      <xdr:row>18</xdr:row>
      <xdr:rowOff>57150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39A28F30-BAE0-BDBB-3067-FC6B9736F2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konkoly.hu/cgi-bin/IBVS?6114" TargetMode="External"/><Relationship Id="rId13" Type="http://schemas.openxmlformats.org/officeDocument/2006/relationships/hyperlink" Target="http://vsolj.cetus-net.org/no45.pdf" TargetMode="External"/><Relationship Id="rId3" Type="http://schemas.openxmlformats.org/officeDocument/2006/relationships/hyperlink" Target="http://www.konkoly.hu/cgi-bin/IBVS?5602" TargetMode="External"/><Relationship Id="rId7" Type="http://schemas.openxmlformats.org/officeDocument/2006/relationships/hyperlink" Target="http://www.konkoly.hu/cgi-bin/IBVS?6114" TargetMode="External"/><Relationship Id="rId12" Type="http://schemas.openxmlformats.org/officeDocument/2006/relationships/hyperlink" Target="http://vsolj.cetus-net.org/no45.pdf" TargetMode="External"/><Relationship Id="rId2" Type="http://schemas.openxmlformats.org/officeDocument/2006/relationships/hyperlink" Target="http://www.konkoly.hu/cgi-bin/IBVS?5592" TargetMode="External"/><Relationship Id="rId1" Type="http://schemas.openxmlformats.org/officeDocument/2006/relationships/hyperlink" Target="http://www.konkoly.hu/cgi-bin/IBVS?5606" TargetMode="External"/><Relationship Id="rId6" Type="http://schemas.openxmlformats.org/officeDocument/2006/relationships/hyperlink" Target="http://www.konkoly.hu/cgi-bin/IBVS?6114" TargetMode="External"/><Relationship Id="rId11" Type="http://schemas.openxmlformats.org/officeDocument/2006/relationships/hyperlink" Target="http://var.astro.cz/oejv/issues/oejv0172.pdf" TargetMode="External"/><Relationship Id="rId5" Type="http://schemas.openxmlformats.org/officeDocument/2006/relationships/hyperlink" Target="http://www.konkoly.hu/cgi-bin/IBVS?5974" TargetMode="External"/><Relationship Id="rId15" Type="http://schemas.openxmlformats.org/officeDocument/2006/relationships/hyperlink" Target="http://var.astro.cz/oejv/issues/oejv0137.pdf" TargetMode="External"/><Relationship Id="rId10" Type="http://schemas.openxmlformats.org/officeDocument/2006/relationships/hyperlink" Target="http://var.astro.cz/oejv/issues/oejv0172.pdf" TargetMode="External"/><Relationship Id="rId4" Type="http://schemas.openxmlformats.org/officeDocument/2006/relationships/hyperlink" Target="http://www.konkoly.hu/cgi-bin/IBVS?5938" TargetMode="External"/><Relationship Id="rId9" Type="http://schemas.openxmlformats.org/officeDocument/2006/relationships/hyperlink" Target="http://www.konkoly.hu/cgi-bin/IBVS?6114" TargetMode="External"/><Relationship Id="rId14" Type="http://schemas.openxmlformats.org/officeDocument/2006/relationships/hyperlink" Target="http://vsolj.cetus-net.org/no4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278"/>
  <sheetViews>
    <sheetView tabSelected="1" workbookViewId="0">
      <pane xSplit="14" ySplit="22" topLeftCell="O40" activePane="bottomRight" state="frozen"/>
      <selection pane="topRight" activeCell="O1" sqref="O1"/>
      <selection pane="bottomLeft" activeCell="A23" sqref="A23"/>
      <selection pane="bottomRight" activeCell="F8" sqref="F8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2.7109375" style="1" customWidth="1"/>
    <col min="4" max="4" width="9.42578125" style="1" customWidth="1"/>
    <col min="5" max="5" width="9.8554687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8" width="9.140625" style="1" customWidth="1"/>
    <col min="19" max="19" width="10.28515625" style="2" customWidth="1"/>
    <col min="20" max="16384" width="10.28515625" style="1"/>
  </cols>
  <sheetData>
    <row r="1" spans="1:23" ht="20.25" x14ac:dyDescent="0.3">
      <c r="A1" s="3" t="s">
        <v>0</v>
      </c>
      <c r="V1" s="4" t="s">
        <v>1</v>
      </c>
      <c r="W1" s="5" t="s">
        <v>2</v>
      </c>
    </row>
    <row r="2" spans="1:23" ht="12.95" customHeight="1" x14ac:dyDescent="0.2">
      <c r="A2" s="1" t="s">
        <v>3</v>
      </c>
      <c r="B2" s="6" t="s">
        <v>4</v>
      </c>
      <c r="V2" s="1">
        <v>0</v>
      </c>
      <c r="W2" s="1">
        <f t="shared" ref="W2:W16" si="0">+D$11+D$12*V2+D$13*V2^2</f>
        <v>1.4811819772424371E-2</v>
      </c>
    </row>
    <row r="3" spans="1:23" ht="12.95" customHeight="1" x14ac:dyDescent="0.2">
      <c r="V3" s="1">
        <v>1000</v>
      </c>
      <c r="W3" s="1">
        <f t="shared" si="0"/>
        <v>8.6531411431666986E-3</v>
      </c>
    </row>
    <row r="4" spans="1:23" ht="12.95" customHeight="1" x14ac:dyDescent="0.2">
      <c r="A4" s="7" t="s">
        <v>5</v>
      </c>
      <c r="C4" s="8">
        <v>48500.082999999999</v>
      </c>
      <c r="D4" s="9">
        <v>0.82521999999999995</v>
      </c>
      <c r="V4" s="1">
        <v>2000</v>
      </c>
      <c r="W4" s="1">
        <f t="shared" si="0"/>
        <v>4.3899031861965683E-3</v>
      </c>
    </row>
    <row r="5" spans="1:23" ht="12.95" customHeight="1" x14ac:dyDescent="0.2">
      <c r="A5" s="10" t="s">
        <v>6</v>
      </c>
      <c r="B5"/>
      <c r="C5" s="11">
        <v>-9.5</v>
      </c>
      <c r="D5" t="s">
        <v>7</v>
      </c>
      <c r="V5" s="1">
        <v>3000</v>
      </c>
      <c r="W5" s="1">
        <f t="shared" si="0"/>
        <v>2.0221059015139795E-3</v>
      </c>
    </row>
    <row r="6" spans="1:23" ht="12.95" customHeight="1" x14ac:dyDescent="0.2">
      <c r="A6" s="7" t="s">
        <v>8</v>
      </c>
      <c r="V6" s="1">
        <v>4000</v>
      </c>
      <c r="W6" s="1">
        <f t="shared" si="0"/>
        <v>1.5497492891189298E-3</v>
      </c>
    </row>
    <row r="7" spans="1:23" ht="12.95" customHeight="1" x14ac:dyDescent="0.2">
      <c r="A7" s="1" t="s">
        <v>9</v>
      </c>
      <c r="C7" s="1">
        <f>+C4</f>
        <v>48500.082999999999</v>
      </c>
      <c r="V7" s="1">
        <v>5000</v>
      </c>
      <c r="W7" s="1">
        <f t="shared" si="0"/>
        <v>2.972833349011425E-3</v>
      </c>
    </row>
    <row r="8" spans="1:23" ht="12.95" customHeight="1" x14ac:dyDescent="0.2">
      <c r="A8" s="1" t="s">
        <v>10</v>
      </c>
      <c r="C8" s="1">
        <f>+D4</f>
        <v>0.82521999999999995</v>
      </c>
      <c r="V8" s="1">
        <v>6000</v>
      </c>
      <c r="W8" s="1">
        <f t="shared" si="0"/>
        <v>6.2913580811914602E-3</v>
      </c>
    </row>
    <row r="9" spans="1:23" ht="12.95" customHeight="1" x14ac:dyDescent="0.2">
      <c r="A9" s="12" t="s">
        <v>11</v>
      </c>
      <c r="B9" s="13">
        <v>46</v>
      </c>
      <c r="C9" s="14" t="str">
        <f>"F"&amp;B9</f>
        <v>F46</v>
      </c>
      <c r="D9" s="15" t="str">
        <f>"G"&amp;B9</f>
        <v>G46</v>
      </c>
      <c r="V9" s="1">
        <v>7000</v>
      </c>
      <c r="W9" s="1">
        <f t="shared" si="0"/>
        <v>1.1505323485659039E-2</v>
      </c>
    </row>
    <row r="10" spans="1:23" ht="12.95" customHeight="1" x14ac:dyDescent="0.2">
      <c r="A10"/>
      <c r="B10"/>
      <c r="C10" s="4" t="s">
        <v>12</v>
      </c>
      <c r="D10" s="4" t="s">
        <v>13</v>
      </c>
      <c r="E10"/>
      <c r="V10" s="1">
        <v>8000</v>
      </c>
      <c r="W10" s="1">
        <f t="shared" si="0"/>
        <v>1.8614729562414147E-2</v>
      </c>
    </row>
    <row r="11" spans="1:23" ht="12.95" customHeight="1" x14ac:dyDescent="0.2">
      <c r="A11" t="s">
        <v>14</v>
      </c>
      <c r="B11"/>
      <c r="C11" s="16">
        <f ca="1">INTERCEPT(INDIRECT($D$9):G989,INDIRECT($C$9):F989)</f>
        <v>-7.6844394458343637E-2</v>
      </c>
      <c r="D11" s="2">
        <f>+E11*F11</f>
        <v>1.4811819772424371E-2</v>
      </c>
      <c r="E11" s="17">
        <v>1.4811819772424371E-2</v>
      </c>
      <c r="F11" s="1">
        <v>1</v>
      </c>
      <c r="V11" s="1">
        <v>9000</v>
      </c>
      <c r="W11" s="1">
        <f t="shared" si="0"/>
        <v>2.7619576311456805E-2</v>
      </c>
    </row>
    <row r="12" spans="1:23" ht="12.95" customHeight="1" x14ac:dyDescent="0.2">
      <c r="A12" t="s">
        <v>15</v>
      </c>
      <c r="B12"/>
      <c r="C12" s="16">
        <f ca="1">SLOPE(INDIRECT($D$9):G989,INDIRECT($C$9):F989)</f>
        <v>1.1943444511238274E-5</v>
      </c>
      <c r="D12" s="2">
        <f>+E12*F12</f>
        <v>-7.1063989654014426E-6</v>
      </c>
      <c r="E12" s="18">
        <v>-7.106398965401442E-2</v>
      </c>
      <c r="F12" s="19">
        <v>1E-4</v>
      </c>
      <c r="V12" s="1">
        <v>10000</v>
      </c>
      <c r="W12" s="1">
        <f t="shared" si="0"/>
        <v>3.8519863732787006E-2</v>
      </c>
    </row>
    <row r="13" spans="1:23" ht="12.95" customHeight="1" x14ac:dyDescent="0.2">
      <c r="A13" t="s">
        <v>16</v>
      </c>
      <c r="B13"/>
      <c r="C13" s="2" t="s">
        <v>17</v>
      </c>
      <c r="D13" s="2">
        <f>+E13*F13</f>
        <v>9.4772033614377061E-10</v>
      </c>
      <c r="E13" s="20">
        <v>9.4772033614377069E-2</v>
      </c>
      <c r="F13" s="19">
        <v>1E-8</v>
      </c>
      <c r="V13" s="1">
        <v>11000</v>
      </c>
      <c r="W13" s="1">
        <f t="shared" si="0"/>
        <v>5.131559182640473E-2</v>
      </c>
    </row>
    <row r="14" spans="1:23" ht="12.95" customHeight="1" x14ac:dyDescent="0.2">
      <c r="A14"/>
      <c r="B14"/>
      <c r="C14"/>
      <c r="E14" s="1">
        <f>SUM(T21:T950)</f>
        <v>3.8807806463184756E-3</v>
      </c>
      <c r="V14" s="1">
        <v>12000</v>
      </c>
      <c r="W14" s="1">
        <f t="shared" si="0"/>
        <v>6.6006760592310032E-2</v>
      </c>
    </row>
    <row r="15" spans="1:23" ht="12.95" customHeight="1" x14ac:dyDescent="0.2">
      <c r="A15" s="21" t="s">
        <v>18</v>
      </c>
      <c r="B15"/>
      <c r="C15" s="22">
        <f ca="1">(C7+C11)+(C8+C12)*INT(MAX(F21:F3530))</f>
        <v>59686.02514899589</v>
      </c>
      <c r="D15" s="15">
        <f>+C7+INT(MAX(F21:F1588))*C8+D11+D12*INT(MAX(F21:F4023))+D13*INT(MAX(F21:F4050)^2)</f>
        <v>59686.032729690967</v>
      </c>
      <c r="E15" s="12" t="s">
        <v>19</v>
      </c>
      <c r="F15" s="11">
        <v>1</v>
      </c>
      <c r="V15" s="1">
        <v>13000</v>
      </c>
      <c r="W15" s="1">
        <f t="shared" si="0"/>
        <v>8.259337003050285E-2</v>
      </c>
    </row>
    <row r="16" spans="1:23" ht="12.95" customHeight="1" x14ac:dyDescent="0.2">
      <c r="A16" s="21" t="s">
        <v>20</v>
      </c>
      <c r="B16"/>
      <c r="C16" s="22">
        <f ca="1">+C8+C12</f>
        <v>0.82523194344451123</v>
      </c>
      <c r="D16" s="15">
        <f>+C8+D12+2*D13*MAX(F21:F896)</f>
        <v>0.82523858724706778</v>
      </c>
      <c r="E16" s="12" t="s">
        <v>21</v>
      </c>
      <c r="F16" s="16">
        <f ca="1">NOW()+15018.5+$C$5/24</f>
        <v>60367.540285185183</v>
      </c>
      <c r="V16" s="1">
        <v>14000</v>
      </c>
      <c r="W16" s="1">
        <f t="shared" si="0"/>
        <v>0.10107542014098322</v>
      </c>
    </row>
    <row r="17" spans="1:21" ht="12.95" customHeight="1" x14ac:dyDescent="0.2">
      <c r="A17" s="12" t="s">
        <v>22</v>
      </c>
      <c r="B17"/>
      <c r="C17">
        <f>COUNT(C21:C2188)</f>
        <v>32</v>
      </c>
      <c r="E17" s="12" t="s">
        <v>23</v>
      </c>
      <c r="F17" s="16">
        <f ca="1">ROUND(2*(F16-$C$7)/$C$8,0)/2+F15</f>
        <v>14382</v>
      </c>
    </row>
    <row r="18" spans="1:21" ht="12.95" customHeight="1" x14ac:dyDescent="0.2">
      <c r="A18" s="7" t="s">
        <v>24</v>
      </c>
      <c r="C18" s="23">
        <f ca="1">+C15</f>
        <v>59686.02514899589</v>
      </c>
      <c r="D18" s="24">
        <f ca="1">C16</f>
        <v>0.82523194344451123</v>
      </c>
      <c r="E18" s="12" t="s">
        <v>25</v>
      </c>
      <c r="F18" s="15">
        <f ca="1">ROUND(2*(F16-$C$15)/$C$16,0)/2+F15</f>
        <v>827</v>
      </c>
    </row>
    <row r="19" spans="1:21" ht="12.95" customHeight="1" x14ac:dyDescent="0.2">
      <c r="A19" s="7" t="s">
        <v>26</v>
      </c>
      <c r="C19" s="25">
        <f>+D15</f>
        <v>59686.032729690967</v>
      </c>
      <c r="D19" s="26">
        <f>+D16</f>
        <v>0.82523858724706778</v>
      </c>
      <c r="E19" s="12" t="s">
        <v>27</v>
      </c>
      <c r="F19" s="27">
        <f ca="1">+$C$15+$C$16*F18-15018.5-$C$5/24</f>
        <v>45350.387799557837</v>
      </c>
    </row>
    <row r="20" spans="1:21" ht="12.95" customHeight="1" x14ac:dyDescent="0.2">
      <c r="A20" s="4" t="s">
        <v>28</v>
      </c>
      <c r="B20" s="4" t="s">
        <v>29</v>
      </c>
      <c r="C20" s="4" t="s">
        <v>30</v>
      </c>
      <c r="D20" s="4" t="s">
        <v>31</v>
      </c>
      <c r="E20" s="4" t="s">
        <v>32</v>
      </c>
      <c r="F20" s="4" t="s">
        <v>1</v>
      </c>
      <c r="G20" s="4" t="s">
        <v>33</v>
      </c>
      <c r="H20" s="5" t="s">
        <v>34</v>
      </c>
      <c r="I20" s="5" t="s">
        <v>35</v>
      </c>
      <c r="J20" s="5" t="s">
        <v>36</v>
      </c>
      <c r="K20" s="5" t="s">
        <v>37</v>
      </c>
      <c r="L20" s="5" t="s">
        <v>38</v>
      </c>
      <c r="M20" s="5" t="s">
        <v>39</v>
      </c>
      <c r="N20" s="5" t="s">
        <v>40</v>
      </c>
      <c r="O20" s="5" t="s">
        <v>41</v>
      </c>
      <c r="P20" s="28" t="s">
        <v>2</v>
      </c>
      <c r="Q20" s="4" t="s">
        <v>42</v>
      </c>
      <c r="R20" s="5" t="s">
        <v>43</v>
      </c>
      <c r="S20" s="5" t="s">
        <v>44</v>
      </c>
      <c r="T20" s="5" t="s">
        <v>45</v>
      </c>
      <c r="U20" s="29" t="s">
        <v>46</v>
      </c>
    </row>
    <row r="21" spans="1:21" ht="12.95" customHeight="1" x14ac:dyDescent="0.2">
      <c r="A21" s="1" t="s">
        <v>47</v>
      </c>
      <c r="B21" s="2" t="s">
        <v>48</v>
      </c>
      <c r="C21" s="30">
        <v>48500.082999999999</v>
      </c>
      <c r="D21" s="30" t="s">
        <v>17</v>
      </c>
      <c r="E21" s="1">
        <f t="shared" ref="E21:E52" si="1">+(C21-C$7)/C$8</f>
        <v>0</v>
      </c>
      <c r="F21" s="1">
        <f t="shared" ref="F21:F52" si="2">ROUND(2*E21,0)/2</f>
        <v>0</v>
      </c>
      <c r="G21" s="1">
        <f t="shared" ref="G21:G30" si="3">+C21-(C$7+F21*C$8)</f>
        <v>0</v>
      </c>
      <c r="H21" s="31">
        <f>G21</f>
        <v>0</v>
      </c>
      <c r="O21" s="1">
        <f t="shared" ref="O21:O52" ca="1" si="4">+C$11+C$12*F21</f>
        <v>-7.6844394458343637E-2</v>
      </c>
      <c r="P21" s="32">
        <f t="shared" ref="P21:P52" si="5">+D$11+D$12*F21+D$13*F21^2</f>
        <v>1.4811819772424371E-2</v>
      </c>
      <c r="Q21" s="77">
        <f t="shared" ref="Q21:Q52" si="6">+C21-15018.5</f>
        <v>33481.582999999999</v>
      </c>
      <c r="R21" s="1">
        <f t="shared" ref="R21:R52" si="7">+(P21-G21)^2</f>
        <v>2.1939000497078154E-4</v>
      </c>
      <c r="S21" s="2">
        <v>0.1</v>
      </c>
      <c r="T21" s="1">
        <f t="shared" ref="T21:T52" si="8">+S21*R21</f>
        <v>2.1939000497078156E-5</v>
      </c>
      <c r="U21" s="33"/>
    </row>
    <row r="22" spans="1:21" ht="12.95" customHeight="1" x14ac:dyDescent="0.2">
      <c r="A22" s="1" t="s">
        <v>49</v>
      </c>
      <c r="B22" s="2" t="s">
        <v>50</v>
      </c>
      <c r="C22" s="30">
        <v>51572.792600000001</v>
      </c>
      <c r="D22" s="30"/>
      <c r="E22" s="1">
        <f t="shared" si="1"/>
        <v>3723.5035505683359</v>
      </c>
      <c r="F22" s="1">
        <f t="shared" si="2"/>
        <v>3723.5</v>
      </c>
      <c r="G22" s="1">
        <f t="shared" si="3"/>
        <v>2.9300000023795292E-3</v>
      </c>
      <c r="I22" s="1">
        <f>+G22</f>
        <v>2.9300000023795292E-3</v>
      </c>
      <c r="O22" s="1">
        <f t="shared" ca="1" si="4"/>
        <v>-3.2372978820747925E-2</v>
      </c>
      <c r="P22" s="32">
        <f t="shared" si="5"/>
        <v>1.4907665715713572E-3</v>
      </c>
      <c r="Q22" s="77">
        <f t="shared" si="6"/>
        <v>36554.292600000001</v>
      </c>
      <c r="R22" s="1">
        <f t="shared" si="7"/>
        <v>2.0713928683558611E-6</v>
      </c>
      <c r="S22" s="2">
        <v>0.1</v>
      </c>
      <c r="T22" s="1">
        <f t="shared" si="8"/>
        <v>2.0713928683558614E-7</v>
      </c>
    </row>
    <row r="23" spans="1:21" ht="12.95" customHeight="1" x14ac:dyDescent="0.2">
      <c r="A23" s="1" t="s">
        <v>49</v>
      </c>
      <c r="B23" s="2" t="s">
        <v>48</v>
      </c>
      <c r="C23" s="30">
        <v>51612.813900000001</v>
      </c>
      <c r="D23" s="30"/>
      <c r="E23" s="1">
        <f t="shared" si="1"/>
        <v>3772.0012845059528</v>
      </c>
      <c r="F23" s="1">
        <f t="shared" si="2"/>
        <v>3772</v>
      </c>
      <c r="G23" s="1">
        <f t="shared" si="3"/>
        <v>1.0600000023259781E-3</v>
      </c>
      <c r="I23" s="1">
        <f>+G23</f>
        <v>1.0600000023259781E-3</v>
      </c>
      <c r="O23" s="1">
        <f t="shared" ca="1" si="4"/>
        <v>-3.1793721761952866E-2</v>
      </c>
      <c r="P23" s="32">
        <f t="shared" si="5"/>
        <v>1.4906326540583201E-3</v>
      </c>
      <c r="Q23" s="77">
        <f t="shared" si="6"/>
        <v>36594.313900000001</v>
      </c>
      <c r="R23" s="1">
        <f t="shared" si="7"/>
        <v>1.8544448073802851E-7</v>
      </c>
      <c r="S23" s="2">
        <v>0.1</v>
      </c>
      <c r="T23" s="1">
        <f t="shared" si="8"/>
        <v>1.8544448073802852E-8</v>
      </c>
    </row>
    <row r="24" spans="1:21" ht="12.95" customHeight="1" x14ac:dyDescent="0.2">
      <c r="A24" s="34" t="s">
        <v>51</v>
      </c>
      <c r="B24" s="2" t="s">
        <v>50</v>
      </c>
      <c r="C24" s="35">
        <v>52649.705600000001</v>
      </c>
      <c r="D24" s="35">
        <v>6.9999999999999999E-4</v>
      </c>
      <c r="E24" s="1">
        <f t="shared" si="1"/>
        <v>5028.504641186596</v>
      </c>
      <c r="F24" s="1">
        <f t="shared" si="2"/>
        <v>5028.5</v>
      </c>
      <c r="G24" s="1">
        <f t="shared" si="3"/>
        <v>3.8300000014714897E-3</v>
      </c>
      <c r="J24" s="1">
        <f>+G24</f>
        <v>3.8300000014714897E-3</v>
      </c>
      <c r="O24" s="1">
        <f t="shared" ca="1" si="4"/>
        <v>-1.6786783733581979E-2</v>
      </c>
      <c r="P24" s="32">
        <f t="shared" si="5"/>
        <v>3.0411710601414912E-3</v>
      </c>
      <c r="Q24" s="77">
        <f t="shared" si="6"/>
        <v>37631.205600000001</v>
      </c>
      <c r="R24" s="1">
        <f t="shared" si="7"/>
        <v>6.2225109867980611E-7</v>
      </c>
      <c r="S24" s="2">
        <v>1</v>
      </c>
      <c r="T24" s="1">
        <f t="shared" si="8"/>
        <v>6.2225109867980611E-7</v>
      </c>
    </row>
    <row r="25" spans="1:21" ht="12.95" customHeight="1" x14ac:dyDescent="0.2">
      <c r="A25" s="36" t="s">
        <v>52</v>
      </c>
      <c r="B25" s="37" t="s">
        <v>48</v>
      </c>
      <c r="C25" s="35">
        <v>52723.565399999999</v>
      </c>
      <c r="D25" s="35">
        <v>4.0000000000000002E-4</v>
      </c>
      <c r="E25" s="1">
        <f t="shared" si="1"/>
        <v>5118.0078039795462</v>
      </c>
      <c r="F25" s="1">
        <f t="shared" si="2"/>
        <v>5118</v>
      </c>
      <c r="G25" s="1">
        <f t="shared" si="3"/>
        <v>6.4400000046589412E-3</v>
      </c>
      <c r="K25" s="1">
        <f t="shared" ref="K25:K30" si="9">+G25</f>
        <v>6.4400000046589412E-3</v>
      </c>
      <c r="O25" s="1">
        <f t="shared" ca="1" si="4"/>
        <v>-1.571784544982615E-2</v>
      </c>
      <c r="P25" s="32">
        <f t="shared" si="5"/>
        <v>3.2657843257041692E-3</v>
      </c>
      <c r="Q25" s="77">
        <f t="shared" si="6"/>
        <v>37705.065399999999</v>
      </c>
      <c r="R25" s="1">
        <f t="shared" si="7"/>
        <v>1.0075645176522304E-5</v>
      </c>
      <c r="S25" s="2">
        <v>1</v>
      </c>
      <c r="T25" s="1">
        <f t="shared" si="8"/>
        <v>1.0075645176522304E-5</v>
      </c>
    </row>
    <row r="26" spans="1:21" ht="12.95" customHeight="1" x14ac:dyDescent="0.2">
      <c r="A26" s="36" t="s">
        <v>53</v>
      </c>
      <c r="B26" s="2" t="s">
        <v>48</v>
      </c>
      <c r="C26" s="30">
        <v>53064.377800000002</v>
      </c>
      <c r="D26" s="30">
        <v>2.0000000000000001E-4</v>
      </c>
      <c r="E26" s="1">
        <f t="shared" si="1"/>
        <v>5531.0036111582413</v>
      </c>
      <c r="F26" s="1">
        <f t="shared" si="2"/>
        <v>5531</v>
      </c>
      <c r="G26" s="1">
        <f t="shared" si="3"/>
        <v>2.9800000047544017E-3</v>
      </c>
      <c r="K26" s="1">
        <f t="shared" si="9"/>
        <v>2.9800000047544017E-3</v>
      </c>
      <c r="O26" s="1">
        <f t="shared" ca="1" si="4"/>
        <v>-1.0785202866684745E-2</v>
      </c>
      <c r="P26" s="32">
        <f t="shared" si="5"/>
        <v>4.4989506570061177E-3</v>
      </c>
      <c r="Q26" s="77">
        <f t="shared" si="6"/>
        <v>38045.877800000002</v>
      </c>
      <c r="R26" s="1">
        <f t="shared" si="7"/>
        <v>2.3072110839759134E-6</v>
      </c>
      <c r="S26" s="2">
        <v>1</v>
      </c>
      <c r="T26" s="1">
        <f t="shared" si="8"/>
        <v>2.3072110839759134E-6</v>
      </c>
    </row>
    <row r="27" spans="1:21" ht="12.95" customHeight="1" x14ac:dyDescent="0.2">
      <c r="A27" s="38" t="s">
        <v>54</v>
      </c>
      <c r="B27" s="39" t="s">
        <v>48</v>
      </c>
      <c r="C27" s="40">
        <v>53081.713000000003</v>
      </c>
      <c r="D27" s="40">
        <v>2E-3</v>
      </c>
      <c r="E27" s="1">
        <f t="shared" si="1"/>
        <v>5552.0103729914508</v>
      </c>
      <c r="F27" s="1">
        <f t="shared" si="2"/>
        <v>5552</v>
      </c>
      <c r="G27" s="1">
        <f t="shared" si="3"/>
        <v>8.5600000020349398E-3</v>
      </c>
      <c r="K27" s="1">
        <f t="shared" si="9"/>
        <v>8.5600000020349398E-3</v>
      </c>
      <c r="O27" s="1">
        <f t="shared" ca="1" si="4"/>
        <v>-1.053439053194874E-2</v>
      </c>
      <c r="P27" s="32">
        <f t="shared" si="5"/>
        <v>4.5702915529277945E-3</v>
      </c>
      <c r="Q27" s="77">
        <f t="shared" si="6"/>
        <v>38063.213000000003</v>
      </c>
      <c r="R27" s="1">
        <f t="shared" si="7"/>
        <v>1.5917773508876942E-5</v>
      </c>
      <c r="S27" s="2">
        <v>1</v>
      </c>
      <c r="T27" s="1">
        <f t="shared" si="8"/>
        <v>1.5917773508876942E-5</v>
      </c>
    </row>
    <row r="28" spans="1:21" ht="12.95" customHeight="1" x14ac:dyDescent="0.2">
      <c r="A28" s="41" t="s">
        <v>55</v>
      </c>
      <c r="B28" s="42" t="s">
        <v>50</v>
      </c>
      <c r="C28" s="43">
        <v>53761.281799999997</v>
      </c>
      <c r="D28" s="35"/>
      <c r="E28" s="1">
        <f t="shared" si="1"/>
        <v>6375.5105305251918</v>
      </c>
      <c r="F28" s="1">
        <f t="shared" si="2"/>
        <v>6375.5</v>
      </c>
      <c r="G28" s="1">
        <f t="shared" si="3"/>
        <v>8.6900000023888424E-3</v>
      </c>
      <c r="K28" s="1">
        <f t="shared" si="9"/>
        <v>8.6900000023888424E-3</v>
      </c>
      <c r="O28" s="1">
        <f t="shared" ca="1" si="4"/>
        <v>-6.9896397694402257E-4</v>
      </c>
      <c r="P28" s="32">
        <f t="shared" si="5"/>
        <v>8.0269619086733995E-3</v>
      </c>
      <c r="Q28" s="77">
        <f t="shared" si="6"/>
        <v>38742.781799999997</v>
      </c>
      <c r="R28" s="1">
        <f t="shared" si="7"/>
        <v>4.3961951371780838E-7</v>
      </c>
      <c r="S28" s="2">
        <v>1</v>
      </c>
      <c r="T28" s="1">
        <f t="shared" si="8"/>
        <v>4.3961951371780838E-7</v>
      </c>
    </row>
    <row r="29" spans="1:21" ht="12.95" customHeight="1" x14ac:dyDescent="0.2">
      <c r="A29" s="41" t="s">
        <v>55</v>
      </c>
      <c r="B29" s="42" t="s">
        <v>50</v>
      </c>
      <c r="C29" s="43">
        <v>53809.146500000003</v>
      </c>
      <c r="D29" s="35"/>
      <c r="E29" s="1">
        <f t="shared" si="1"/>
        <v>6433.5128814134459</v>
      </c>
      <c r="F29" s="1">
        <f t="shared" si="2"/>
        <v>6433.5</v>
      </c>
      <c r="G29" s="1">
        <f t="shared" si="3"/>
        <v>1.0630000004312024E-2</v>
      </c>
      <c r="K29" s="1">
        <f t="shared" si="9"/>
        <v>1.0630000004312024E-2</v>
      </c>
      <c r="O29" s="1">
        <f t="shared" ca="1" si="4"/>
        <v>-6.2441952922015487E-6</v>
      </c>
      <c r="P29" s="32">
        <f t="shared" si="5"/>
        <v>8.3188730562487184E-3</v>
      </c>
      <c r="Q29" s="77">
        <f t="shared" si="6"/>
        <v>38790.646500000003</v>
      </c>
      <c r="R29" s="1">
        <f t="shared" si="7"/>
        <v>5.3413077700644067E-6</v>
      </c>
      <c r="S29" s="2">
        <v>1</v>
      </c>
      <c r="T29" s="1">
        <f t="shared" si="8"/>
        <v>5.3413077700644067E-6</v>
      </c>
    </row>
    <row r="30" spans="1:21" ht="12.95" customHeight="1" x14ac:dyDescent="0.2">
      <c r="A30" s="41" t="s">
        <v>56</v>
      </c>
      <c r="B30" s="42" t="s">
        <v>48</v>
      </c>
      <c r="C30" s="43">
        <v>54528.321199999998</v>
      </c>
      <c r="D30" s="35"/>
      <c r="E30" s="1">
        <f t="shared" si="1"/>
        <v>7305.0073919682027</v>
      </c>
      <c r="F30" s="1">
        <f t="shared" si="2"/>
        <v>7305</v>
      </c>
      <c r="G30" s="1">
        <f t="shared" si="3"/>
        <v>6.0999999986961484E-3</v>
      </c>
      <c r="K30" s="1">
        <f t="shared" si="9"/>
        <v>6.0999999986961484E-3</v>
      </c>
      <c r="O30" s="1">
        <f t="shared" ca="1" si="4"/>
        <v>1.0402467696251957E-2</v>
      </c>
      <c r="P30" s="32">
        <f t="shared" si="5"/>
        <v>1.3472799320815264E-2</v>
      </c>
      <c r="Q30" s="77">
        <f t="shared" si="6"/>
        <v>39509.821199999998</v>
      </c>
      <c r="R30" s="1">
        <f t="shared" si="7"/>
        <v>5.4358169844240089E-5</v>
      </c>
      <c r="S30" s="2">
        <v>1</v>
      </c>
      <c r="T30" s="1">
        <f t="shared" si="8"/>
        <v>5.4358169844240089E-5</v>
      </c>
    </row>
    <row r="31" spans="1:21" ht="12.95" customHeight="1" x14ac:dyDescent="0.2">
      <c r="A31" s="36" t="s">
        <v>57</v>
      </c>
      <c r="B31" s="44" t="s">
        <v>50</v>
      </c>
      <c r="C31" s="36">
        <v>54949.640299999999</v>
      </c>
      <c r="D31" s="36">
        <v>1E-4</v>
      </c>
      <c r="E31" s="1">
        <f t="shared" si="1"/>
        <v>7815.5610625045456</v>
      </c>
      <c r="F31" s="1">
        <f t="shared" si="2"/>
        <v>7815.5</v>
      </c>
      <c r="O31" s="1">
        <f t="shared" ca="1" si="4"/>
        <v>1.6499596119239096E-2</v>
      </c>
      <c r="P31" s="32">
        <f t="shared" si="5"/>
        <v>1.7160450376406726E-2</v>
      </c>
      <c r="Q31" s="77">
        <f t="shared" si="6"/>
        <v>39931.140299999999</v>
      </c>
      <c r="R31" s="1">
        <f t="shared" si="7"/>
        <v>2.9448105712111776E-4</v>
      </c>
      <c r="T31" s="1">
        <f t="shared" si="8"/>
        <v>0</v>
      </c>
      <c r="U31" s="15">
        <v>5.0390000003972091E-2</v>
      </c>
    </row>
    <row r="32" spans="1:21" ht="12.95" customHeight="1" x14ac:dyDescent="0.2">
      <c r="A32" s="45" t="s">
        <v>58</v>
      </c>
      <c r="B32" s="46" t="s">
        <v>50</v>
      </c>
      <c r="C32" s="47">
        <v>55231.836499999998</v>
      </c>
      <c r="D32" s="47">
        <v>1E-4</v>
      </c>
      <c r="E32" s="1">
        <f t="shared" si="1"/>
        <v>8157.525871888708</v>
      </c>
      <c r="F32" s="1">
        <f t="shared" si="2"/>
        <v>8157.5</v>
      </c>
      <c r="G32" s="1">
        <f t="shared" ref="G32:G52" si="10">+C32-(C$7+F32*C$8)</f>
        <v>2.1350000002712477E-2</v>
      </c>
      <c r="K32" s="1">
        <f t="shared" ref="K32:K37" si="11">+G32</f>
        <v>2.1350000002712477E-2</v>
      </c>
      <c r="O32" s="1">
        <f t="shared" ca="1" si="4"/>
        <v>2.0584254142082578E-2</v>
      </c>
      <c r="P32" s="32">
        <f t="shared" si="5"/>
        <v>1.9907236360034192E-2</v>
      </c>
      <c r="Q32" s="77">
        <f t="shared" si="6"/>
        <v>40213.336499999998</v>
      </c>
      <c r="R32" s="1">
        <f t="shared" si="7"/>
        <v>2.081566928634315E-6</v>
      </c>
      <c r="S32" s="2">
        <v>1</v>
      </c>
      <c r="T32" s="1">
        <f t="shared" si="8"/>
        <v>2.081566928634315E-6</v>
      </c>
    </row>
    <row r="33" spans="1:21" ht="12.95" customHeight="1" x14ac:dyDescent="0.2">
      <c r="A33" s="48" t="s">
        <v>59</v>
      </c>
      <c r="B33" s="39" t="s">
        <v>50</v>
      </c>
      <c r="C33" s="34">
        <v>55280.523240000002</v>
      </c>
      <c r="D33" s="34">
        <v>2.9999999999999997E-4</v>
      </c>
      <c r="E33" s="1">
        <f t="shared" si="1"/>
        <v>8216.5243692591121</v>
      </c>
      <c r="F33" s="1">
        <f t="shared" si="2"/>
        <v>8216.5</v>
      </c>
      <c r="G33" s="1">
        <f t="shared" si="10"/>
        <v>2.0110000004933681E-2</v>
      </c>
      <c r="K33" s="1">
        <f t="shared" si="11"/>
        <v>2.0110000004933681E-2</v>
      </c>
      <c r="O33" s="1">
        <f t="shared" ca="1" si="4"/>
        <v>2.1288917368245633E-2</v>
      </c>
      <c r="P33" s="32">
        <f t="shared" si="5"/>
        <v>2.0403519215332573E-2</v>
      </c>
      <c r="Q33" s="77">
        <f t="shared" si="6"/>
        <v>40262.023240000002</v>
      </c>
      <c r="R33" s="1">
        <f t="shared" si="7"/>
        <v>8.6153526873188907E-8</v>
      </c>
      <c r="S33" s="2">
        <v>1</v>
      </c>
      <c r="T33" s="1">
        <f t="shared" si="8"/>
        <v>8.6153526873188907E-8</v>
      </c>
    </row>
    <row r="34" spans="1:21" ht="12.95" customHeight="1" x14ac:dyDescent="0.2">
      <c r="A34" s="34" t="s">
        <v>60</v>
      </c>
      <c r="B34" s="39" t="s">
        <v>48</v>
      </c>
      <c r="C34" s="34">
        <v>56057.475330000001</v>
      </c>
      <c r="D34" s="34">
        <v>4.0000000000000002E-4</v>
      </c>
      <c r="E34" s="1">
        <f t="shared" si="1"/>
        <v>9158.0334092726825</v>
      </c>
      <c r="F34" s="1">
        <f t="shared" si="2"/>
        <v>9158</v>
      </c>
      <c r="G34" s="1">
        <f t="shared" si="10"/>
        <v>2.7570000005653128E-2</v>
      </c>
      <c r="K34" s="1">
        <f t="shared" si="11"/>
        <v>2.7570000005653128E-2</v>
      </c>
      <c r="O34" s="1">
        <f t="shared" ca="1" si="4"/>
        <v>3.2533670375576473E-2</v>
      </c>
      <c r="P34" s="32">
        <f t="shared" si="5"/>
        <v>2.9215740801387759E-2</v>
      </c>
      <c r="Q34" s="77">
        <f t="shared" si="6"/>
        <v>41038.975330000001</v>
      </c>
      <c r="R34" s="1">
        <f t="shared" si="7"/>
        <v>2.7084627667452554E-6</v>
      </c>
      <c r="S34" s="2">
        <v>1</v>
      </c>
      <c r="T34" s="1">
        <f t="shared" si="8"/>
        <v>2.7084627667452554E-6</v>
      </c>
    </row>
    <row r="35" spans="1:21" ht="12.95" customHeight="1" x14ac:dyDescent="0.2">
      <c r="A35" s="34" t="s">
        <v>60</v>
      </c>
      <c r="B35" s="39" t="s">
        <v>50</v>
      </c>
      <c r="C35" s="34">
        <v>56319.486409999998</v>
      </c>
      <c r="D35" s="34">
        <v>5.9000000000000003E-4</v>
      </c>
      <c r="E35" s="1">
        <f t="shared" si="1"/>
        <v>9475.5379292794642</v>
      </c>
      <c r="F35" s="1">
        <f t="shared" si="2"/>
        <v>9475.5</v>
      </c>
      <c r="G35" s="1">
        <f t="shared" si="10"/>
        <v>3.1300000002374873E-2</v>
      </c>
      <c r="K35" s="1">
        <f t="shared" si="11"/>
        <v>3.1300000002374873E-2</v>
      </c>
      <c r="O35" s="1">
        <f t="shared" ca="1" si="4"/>
        <v>3.6325714007894624E-2</v>
      </c>
      <c r="P35" s="32">
        <f t="shared" si="5"/>
        <v>3.2566301765395149E-2</v>
      </c>
      <c r="Q35" s="77">
        <f t="shared" si="6"/>
        <v>41300.986409999998</v>
      </c>
      <c r="R35" s="1">
        <f t="shared" si="7"/>
        <v>1.6035201550282601E-6</v>
      </c>
      <c r="S35" s="2">
        <v>1</v>
      </c>
      <c r="T35" s="1">
        <f t="shared" si="8"/>
        <v>1.6035201550282601E-6</v>
      </c>
    </row>
    <row r="36" spans="1:21" ht="12.95" customHeight="1" x14ac:dyDescent="0.2">
      <c r="A36" s="34" t="s">
        <v>60</v>
      </c>
      <c r="B36" s="39" t="s">
        <v>48</v>
      </c>
      <c r="C36" s="34">
        <v>56713.534420000004</v>
      </c>
      <c r="D36" s="34">
        <v>6.8999999999999997E-4</v>
      </c>
      <c r="E36" s="1">
        <f t="shared" si="1"/>
        <v>9953.0445456969119</v>
      </c>
      <c r="F36" s="1">
        <f t="shared" si="2"/>
        <v>9953</v>
      </c>
      <c r="G36" s="1">
        <f t="shared" si="10"/>
        <v>3.6760000002686866E-2</v>
      </c>
      <c r="K36" s="1">
        <f t="shared" si="11"/>
        <v>3.6760000002686866E-2</v>
      </c>
      <c r="O36" s="1">
        <f t="shared" ca="1" si="4"/>
        <v>4.2028708762010897E-2</v>
      </c>
      <c r="P36" s="32">
        <f t="shared" si="5"/>
        <v>3.796510088240828E-2</v>
      </c>
      <c r="Q36" s="77">
        <f t="shared" si="6"/>
        <v>41695.034420000004</v>
      </c>
      <c r="R36" s="1">
        <f t="shared" si="7"/>
        <v>1.4522681303053269E-6</v>
      </c>
      <c r="S36" s="2">
        <v>1</v>
      </c>
      <c r="T36" s="1">
        <f t="shared" si="8"/>
        <v>1.4522681303053269E-6</v>
      </c>
    </row>
    <row r="37" spans="1:21" ht="12.95" customHeight="1" x14ac:dyDescent="0.2">
      <c r="A37" s="34" t="s">
        <v>60</v>
      </c>
      <c r="B37" s="39" t="s">
        <v>50</v>
      </c>
      <c r="C37" s="34">
        <v>56725.499830000001</v>
      </c>
      <c r="D37" s="34">
        <v>2.5000000000000001E-4</v>
      </c>
      <c r="E37" s="1">
        <f t="shared" si="1"/>
        <v>9967.5442063934497</v>
      </c>
      <c r="F37" s="1">
        <f t="shared" si="2"/>
        <v>9967.5</v>
      </c>
      <c r="G37" s="1">
        <f t="shared" si="10"/>
        <v>3.6480000002484303E-2</v>
      </c>
      <c r="K37" s="1">
        <f t="shared" si="11"/>
        <v>3.6480000002484303E-2</v>
      </c>
      <c r="O37" s="1">
        <f t="shared" ca="1" si="4"/>
        <v>4.2201888707423862E-2</v>
      </c>
      <c r="P37" s="32">
        <f t="shared" si="5"/>
        <v>3.8135804510274159E-2</v>
      </c>
      <c r="Q37" s="77">
        <f t="shared" si="6"/>
        <v>41706.999830000001</v>
      </c>
      <c r="R37" s="1">
        <f t="shared" si="7"/>
        <v>2.7416885680172062E-6</v>
      </c>
      <c r="S37" s="2">
        <v>1</v>
      </c>
      <c r="T37" s="1">
        <f t="shared" si="8"/>
        <v>2.7416885680172062E-6</v>
      </c>
    </row>
    <row r="38" spans="1:21" ht="12.95" customHeight="1" x14ac:dyDescent="0.2">
      <c r="A38" s="49" t="s">
        <v>61</v>
      </c>
      <c r="B38" s="50" t="s">
        <v>48</v>
      </c>
      <c r="C38" s="51">
        <v>56761.396999999997</v>
      </c>
      <c r="D38" s="51">
        <v>0.01</v>
      </c>
      <c r="E38" s="1">
        <f t="shared" si="1"/>
        <v>10011.044327573252</v>
      </c>
      <c r="F38" s="1">
        <f t="shared" si="2"/>
        <v>10011</v>
      </c>
      <c r="G38" s="1">
        <f t="shared" si="10"/>
        <v>3.657999999995809E-2</v>
      </c>
      <c r="I38" s="1">
        <f>+G38</f>
        <v>3.657999999995809E-2</v>
      </c>
      <c r="O38" s="1">
        <f t="shared" ca="1" si="4"/>
        <v>4.2721428543662718E-2</v>
      </c>
      <c r="P38" s="32">
        <f t="shared" si="5"/>
        <v>3.86503064922799E-2</v>
      </c>
      <c r="Q38" s="77">
        <f t="shared" si="6"/>
        <v>41742.896999999997</v>
      </c>
      <c r="R38" s="1">
        <f t="shared" si="7"/>
        <v>4.2861689721498336E-6</v>
      </c>
      <c r="S38" s="2">
        <v>0.1</v>
      </c>
      <c r="T38" s="1">
        <f t="shared" si="8"/>
        <v>4.2861689721498337E-7</v>
      </c>
    </row>
    <row r="39" spans="1:21" ht="12.95" customHeight="1" x14ac:dyDescent="0.2">
      <c r="A39" s="49" t="s">
        <v>61</v>
      </c>
      <c r="B39" s="50" t="s">
        <v>50</v>
      </c>
      <c r="C39" s="51">
        <v>56768.415000000001</v>
      </c>
      <c r="D39" s="51">
        <v>0.01</v>
      </c>
      <c r="E39" s="1">
        <f t="shared" si="1"/>
        <v>10019.548726400235</v>
      </c>
      <c r="F39" s="1">
        <f t="shared" si="2"/>
        <v>10019.5</v>
      </c>
      <c r="G39" s="1">
        <f t="shared" si="10"/>
        <v>4.0209999999206048E-2</v>
      </c>
      <c r="I39" s="1">
        <f>+G39</f>
        <v>4.0209999999206048E-2</v>
      </c>
      <c r="O39" s="1">
        <f t="shared" ca="1" si="4"/>
        <v>4.2822947822008253E-2</v>
      </c>
      <c r="P39" s="32">
        <f t="shared" si="5"/>
        <v>3.8751260254715571E-2</v>
      </c>
      <c r="Q39" s="77">
        <f t="shared" si="6"/>
        <v>41749.915000000001</v>
      </c>
      <c r="R39" s="1">
        <f t="shared" si="7"/>
        <v>2.1279216421561416E-6</v>
      </c>
      <c r="S39" s="2">
        <v>0.1</v>
      </c>
      <c r="T39" s="1">
        <f t="shared" si="8"/>
        <v>2.1279216421561417E-7</v>
      </c>
    </row>
    <row r="40" spans="1:21" ht="12.95" customHeight="1" x14ac:dyDescent="0.2">
      <c r="A40" s="52" t="s">
        <v>62</v>
      </c>
      <c r="B40" s="53" t="s">
        <v>48</v>
      </c>
      <c r="C40" s="52">
        <v>57066.735999999997</v>
      </c>
      <c r="D40" s="52">
        <v>4.0000000000000002E-4</v>
      </c>
      <c r="E40" s="1">
        <f t="shared" si="1"/>
        <v>10381.053537238553</v>
      </c>
      <c r="F40" s="1">
        <f t="shared" si="2"/>
        <v>10381</v>
      </c>
      <c r="G40" s="1">
        <f t="shared" si="10"/>
        <v>4.417999999714084E-2</v>
      </c>
      <c r="K40" s="1">
        <f>+G40</f>
        <v>4.417999999714084E-2</v>
      </c>
      <c r="O40" s="1">
        <f t="shared" ca="1" si="4"/>
        <v>4.7140503012820884E-2</v>
      </c>
      <c r="P40" s="32">
        <f t="shared" si="5"/>
        <v>4.3171526720099558E-2</v>
      </c>
      <c r="Q40" s="77">
        <f t="shared" si="6"/>
        <v>42048.235999999997</v>
      </c>
      <c r="R40" s="1">
        <f t="shared" si="7"/>
        <v>1.0170183505063815E-6</v>
      </c>
      <c r="S40" s="2">
        <v>1</v>
      </c>
      <c r="T40" s="1">
        <f t="shared" si="8"/>
        <v>1.0170183505063815E-6</v>
      </c>
    </row>
    <row r="41" spans="1:21" ht="12.95" customHeight="1" x14ac:dyDescent="0.2">
      <c r="A41" s="54" t="s">
        <v>63</v>
      </c>
      <c r="B41" s="55" t="s">
        <v>48</v>
      </c>
      <c r="C41" s="54">
        <v>57112.120499999997</v>
      </c>
      <c r="D41" s="54" t="s">
        <v>64</v>
      </c>
      <c r="E41" s="1">
        <f t="shared" si="1"/>
        <v>10436.050386563582</v>
      </c>
      <c r="F41" s="1">
        <f t="shared" si="2"/>
        <v>10436</v>
      </c>
      <c r="G41" s="1">
        <f t="shared" si="10"/>
        <v>4.1579999997338746E-2</v>
      </c>
      <c r="K41" s="1">
        <f>+G41</f>
        <v>4.1579999997338746E-2</v>
      </c>
      <c r="O41" s="1">
        <f t="shared" ca="1" si="4"/>
        <v>4.7797392460938989E-2</v>
      </c>
      <c r="P41" s="32">
        <f t="shared" si="5"/>
        <v>4.3865752960065237E-2</v>
      </c>
      <c r="Q41" s="77">
        <f t="shared" si="6"/>
        <v>42093.620499999997</v>
      </c>
      <c r="R41" s="1">
        <f t="shared" si="7"/>
        <v>5.2246666066129303E-6</v>
      </c>
      <c r="S41" s="2">
        <v>1</v>
      </c>
      <c r="T41" s="1">
        <f t="shared" si="8"/>
        <v>5.2246666066129303E-6</v>
      </c>
    </row>
    <row r="42" spans="1:21" ht="12.95" customHeight="1" x14ac:dyDescent="0.2">
      <c r="A42" s="56" t="s">
        <v>65</v>
      </c>
      <c r="B42" s="57" t="s">
        <v>50</v>
      </c>
      <c r="C42" s="56">
        <v>57478.940399999999</v>
      </c>
      <c r="D42" s="56">
        <v>1.1999999999999999E-3</v>
      </c>
      <c r="E42" s="1">
        <f t="shared" si="1"/>
        <v>10880.562031942998</v>
      </c>
      <c r="F42" s="1">
        <f t="shared" si="2"/>
        <v>10880.5</v>
      </c>
      <c r="G42" s="1">
        <f t="shared" si="10"/>
        <v>5.1190000005590264E-2</v>
      </c>
      <c r="K42" s="1">
        <f>+G42</f>
        <v>5.1190000005590264E-2</v>
      </c>
      <c r="O42" s="1">
        <f t="shared" ca="1" si="4"/>
        <v>5.3106253546184409E-2</v>
      </c>
      <c r="P42" s="32">
        <f t="shared" si="5"/>
        <v>4.9686783422378464E-2</v>
      </c>
      <c r="Q42" s="77">
        <f t="shared" si="6"/>
        <v>42460.440399999999</v>
      </c>
      <c r="R42" s="1">
        <f t="shared" si="7"/>
        <v>2.2596600960429584E-6</v>
      </c>
      <c r="S42" s="2">
        <v>1</v>
      </c>
      <c r="T42" s="1">
        <f t="shared" si="8"/>
        <v>2.2596600960429584E-6</v>
      </c>
    </row>
    <row r="43" spans="1:21" ht="12.95" customHeight="1" x14ac:dyDescent="0.2">
      <c r="A43" s="58" t="s">
        <v>66</v>
      </c>
      <c r="B43" s="59" t="s">
        <v>48</v>
      </c>
      <c r="C43" s="60">
        <v>57497.508999999998</v>
      </c>
      <c r="D43" s="61">
        <v>5.0000000000000001E-3</v>
      </c>
      <c r="E43" s="1">
        <f t="shared" si="1"/>
        <v>10903.063425510773</v>
      </c>
      <c r="F43" s="1">
        <f t="shared" si="2"/>
        <v>10903</v>
      </c>
      <c r="G43" s="1">
        <f t="shared" si="10"/>
        <v>5.2340000002004672E-2</v>
      </c>
      <c r="I43" s="1">
        <f>+G43</f>
        <v>5.2340000002004672E-2</v>
      </c>
      <c r="O43" s="1">
        <f t="shared" ca="1" si="4"/>
        <v>5.3374981047687273E-2</v>
      </c>
      <c r="P43" s="32">
        <f t="shared" si="5"/>
        <v>4.9991394429360653E-2</v>
      </c>
      <c r="Q43" s="77">
        <f t="shared" si="6"/>
        <v>42479.008999999998</v>
      </c>
      <c r="R43" s="1">
        <f t="shared" si="7"/>
        <v>5.5159481358545408E-6</v>
      </c>
      <c r="S43" s="2">
        <v>0.1</v>
      </c>
      <c r="T43" s="1">
        <f t="shared" si="8"/>
        <v>5.5159481358545411E-7</v>
      </c>
    </row>
    <row r="44" spans="1:21" ht="12.95" customHeight="1" x14ac:dyDescent="0.2">
      <c r="A44" s="56" t="s">
        <v>65</v>
      </c>
      <c r="B44" s="57" t="s">
        <v>48</v>
      </c>
      <c r="C44" s="56">
        <v>57510.7117</v>
      </c>
      <c r="D44" s="56">
        <v>2.7000000000000001E-3</v>
      </c>
      <c r="E44" s="1">
        <f t="shared" si="1"/>
        <v>10919.062431836361</v>
      </c>
      <c r="F44" s="1">
        <f t="shared" si="2"/>
        <v>10919</v>
      </c>
      <c r="G44" s="1">
        <f t="shared" si="10"/>
        <v>5.1520000000891741E-2</v>
      </c>
      <c r="K44" s="1">
        <f>+G44</f>
        <v>5.1520000000891741E-2</v>
      </c>
      <c r="O44" s="1">
        <f t="shared" ca="1" si="4"/>
        <v>5.3566076159867068E-2</v>
      </c>
      <c r="P44" s="32">
        <f t="shared" si="5"/>
        <v>5.020859049671951E-2</v>
      </c>
      <c r="Q44" s="77">
        <f t="shared" si="6"/>
        <v>42492.2117</v>
      </c>
      <c r="R44" s="1">
        <f t="shared" si="7"/>
        <v>1.7197948876332573E-6</v>
      </c>
      <c r="S44" s="2">
        <v>1</v>
      </c>
      <c r="T44" s="1">
        <f t="shared" si="8"/>
        <v>1.7197948876332573E-6</v>
      </c>
    </row>
    <row r="45" spans="1:21" ht="12.95" customHeight="1" x14ac:dyDescent="0.2">
      <c r="A45" s="62" t="s">
        <v>67</v>
      </c>
      <c r="B45" s="63" t="s">
        <v>50</v>
      </c>
      <c r="C45" s="64">
        <v>58197.719479999971</v>
      </c>
      <c r="D45" s="64">
        <v>6.9999999999999999E-4</v>
      </c>
      <c r="E45" s="1">
        <f t="shared" si="1"/>
        <v>11751.577130946866</v>
      </c>
      <c r="F45" s="1">
        <f t="shared" si="2"/>
        <v>11751.5</v>
      </c>
      <c r="G45" s="1">
        <f t="shared" si="10"/>
        <v>6.3649999974586535E-2</v>
      </c>
      <c r="K45" s="1">
        <f>+G45</f>
        <v>6.3649999974586535E-2</v>
      </c>
      <c r="O45" s="1">
        <f t="shared" ca="1" si="4"/>
        <v>6.3508993715472931E-2</v>
      </c>
      <c r="P45" s="32">
        <f t="shared" si="5"/>
        <v>6.2179020513578459E-2</v>
      </c>
      <c r="Q45" s="77">
        <f t="shared" si="6"/>
        <v>43179.219479999971</v>
      </c>
      <c r="R45" s="1">
        <f t="shared" si="7"/>
        <v>2.1637805747076105E-6</v>
      </c>
      <c r="S45" s="2">
        <v>1</v>
      </c>
      <c r="T45" s="1">
        <f t="shared" si="8"/>
        <v>2.1637805747076105E-6</v>
      </c>
    </row>
    <row r="46" spans="1:21" ht="12.95" customHeight="1" x14ac:dyDescent="0.2">
      <c r="A46" s="7" t="s">
        <v>141</v>
      </c>
      <c r="C46" s="35">
        <v>58558.758941740154</v>
      </c>
      <c r="D46" s="35">
        <v>2.9999999999999997E-4</v>
      </c>
      <c r="E46" s="1">
        <f t="shared" si="1"/>
        <v>12189.084052422573</v>
      </c>
      <c r="F46" s="1">
        <f t="shared" si="2"/>
        <v>12189</v>
      </c>
      <c r="G46" s="1">
        <f t="shared" si="10"/>
        <v>6.9361740155727603E-2</v>
      </c>
      <c r="K46" s="1">
        <f>+G46</f>
        <v>6.9361740155727603E-2</v>
      </c>
      <c r="O46" s="1">
        <f t="shared" ca="1" si="4"/>
        <v>6.8734250689139673E-2</v>
      </c>
      <c r="P46" s="32">
        <f t="shared" si="5"/>
        <v>6.8996364150724687E-2</v>
      </c>
      <c r="Q46" s="77">
        <f t="shared" si="6"/>
        <v>43540.258941740154</v>
      </c>
      <c r="R46" s="1">
        <f t="shared" si="7"/>
        <v>1.3349962503189041E-7</v>
      </c>
      <c r="S46" s="2">
        <v>1</v>
      </c>
      <c r="T46" s="1">
        <f t="shared" si="8"/>
        <v>1.3349962503189041E-7</v>
      </c>
    </row>
    <row r="47" spans="1:21" ht="12.95" customHeight="1" x14ac:dyDescent="0.2">
      <c r="A47" s="78" t="s">
        <v>142</v>
      </c>
      <c r="B47" s="79" t="s">
        <v>48</v>
      </c>
      <c r="C47" s="84">
        <v>59329.538000000175</v>
      </c>
      <c r="D47" s="85">
        <v>0.01</v>
      </c>
      <c r="E47" s="1">
        <f t="shared" si="1"/>
        <v>13123.112624512465</v>
      </c>
      <c r="F47" s="1">
        <f t="shared" si="2"/>
        <v>13123</v>
      </c>
      <c r="G47" s="1">
        <f t="shared" si="10"/>
        <v>9.294000017689541E-2</v>
      </c>
      <c r="K47" s="1">
        <f>+G47</f>
        <v>9.294000017689541E-2</v>
      </c>
      <c r="O47" s="1">
        <f t="shared" ca="1" si="4"/>
        <v>7.9889427862636239E-2</v>
      </c>
      <c r="P47" s="32">
        <f t="shared" si="5"/>
        <v>8.4764430653711781E-2</v>
      </c>
      <c r="Q47" s="77">
        <f t="shared" si="6"/>
        <v>44311.038000000175</v>
      </c>
      <c r="R47" s="1">
        <f t="shared" si="7"/>
        <v>6.6839937028408995E-5</v>
      </c>
      <c r="S47" s="2">
        <v>1</v>
      </c>
      <c r="T47" s="1">
        <f t="shared" si="8"/>
        <v>6.6839937028408995E-5</v>
      </c>
    </row>
    <row r="48" spans="1:21" ht="12.95" customHeight="1" x14ac:dyDescent="0.2">
      <c r="A48" s="80" t="s">
        <v>145</v>
      </c>
      <c r="B48" s="81" t="s">
        <v>48</v>
      </c>
      <c r="C48" s="82">
        <v>59553.934699999998</v>
      </c>
      <c r="D48" s="83">
        <v>2.9999999999999997E-4</v>
      </c>
      <c r="E48" s="1">
        <f t="shared" si="1"/>
        <v>13395.036111582365</v>
      </c>
      <c r="F48" s="1">
        <f t="shared" si="2"/>
        <v>13395</v>
      </c>
      <c r="G48" s="1">
        <f t="shared" si="10"/>
        <v>2.9800000003888272E-2</v>
      </c>
      <c r="O48" s="1">
        <f t="shared" ca="1" si="4"/>
        <v>8.313804476969304E-2</v>
      </c>
      <c r="P48" s="32">
        <f t="shared" si="5"/>
        <v>8.9667298356812641E-2</v>
      </c>
      <c r="Q48" s="77">
        <f t="shared" si="6"/>
        <v>44535.434699999998</v>
      </c>
      <c r="R48" s="1">
        <f t="shared" si="7"/>
        <v>3.5840934120780609E-3</v>
      </c>
      <c r="S48" s="2">
        <v>1</v>
      </c>
      <c r="T48" s="1">
        <f t="shared" si="8"/>
        <v>3.5840934120780609E-3</v>
      </c>
      <c r="U48" s="1">
        <f>+G48</f>
        <v>2.9800000003888272E-2</v>
      </c>
    </row>
    <row r="49" spans="1:20" ht="12.95" customHeight="1" x14ac:dyDescent="0.2">
      <c r="A49" s="78" t="s">
        <v>143</v>
      </c>
      <c r="B49" s="79" t="s">
        <v>48</v>
      </c>
      <c r="C49" s="84">
        <v>59571.325100000016</v>
      </c>
      <c r="D49" s="85" t="s">
        <v>64</v>
      </c>
      <c r="E49" s="1">
        <f t="shared" si="1"/>
        <v>13416.109764668838</v>
      </c>
      <c r="F49" s="1">
        <f t="shared" si="2"/>
        <v>13416</v>
      </c>
      <c r="G49" s="1">
        <f t="shared" si="10"/>
        <v>9.0580000018235296E-2</v>
      </c>
      <c r="K49" s="1">
        <f>+G49</f>
        <v>9.0580000018235296E-2</v>
      </c>
      <c r="O49" s="1">
        <f t="shared" ca="1" si="4"/>
        <v>8.3388857104429046E-2</v>
      </c>
      <c r="P49" s="32">
        <f t="shared" si="5"/>
        <v>9.0051659907118581E-2</v>
      </c>
      <c r="Q49" s="77">
        <f t="shared" si="6"/>
        <v>44552.825100000016</v>
      </c>
      <c r="R49" s="1">
        <f t="shared" si="7"/>
        <v>2.7914327301482298E-7</v>
      </c>
      <c r="S49" s="2">
        <v>1</v>
      </c>
      <c r="T49" s="1">
        <f t="shared" si="8"/>
        <v>2.7914327301482298E-7</v>
      </c>
    </row>
    <row r="50" spans="1:20" ht="12.95" customHeight="1" x14ac:dyDescent="0.2">
      <c r="A50" s="7" t="s">
        <v>140</v>
      </c>
      <c r="C50" s="35">
        <v>59577.926899999999</v>
      </c>
      <c r="D50" s="35">
        <v>2.0000000000000001E-4</v>
      </c>
      <c r="E50" s="1">
        <f t="shared" si="1"/>
        <v>13424.109813140738</v>
      </c>
      <c r="F50" s="1">
        <f t="shared" si="2"/>
        <v>13424</v>
      </c>
      <c r="G50" s="1">
        <f t="shared" si="10"/>
        <v>9.0620000002672896E-2</v>
      </c>
      <c r="K50" s="1">
        <f>+G50</f>
        <v>9.0620000002672896E-2</v>
      </c>
      <c r="O50" s="1">
        <f t="shared" ca="1" si="4"/>
        <v>8.3484404660518943E-2</v>
      </c>
      <c r="P50" s="32">
        <f t="shared" si="5"/>
        <v>9.0198303225972137E-2</v>
      </c>
      <c r="Q50" s="77">
        <f t="shared" si="6"/>
        <v>44559.426899999999</v>
      </c>
      <c r="R50" s="1">
        <f t="shared" si="7"/>
        <v>1.7782817147980934E-7</v>
      </c>
      <c r="S50" s="2">
        <v>1</v>
      </c>
      <c r="T50" s="1">
        <f t="shared" si="8"/>
        <v>1.7782817147980934E-7</v>
      </c>
    </row>
    <row r="51" spans="1:20" ht="12.95" customHeight="1" x14ac:dyDescent="0.2">
      <c r="A51" s="78" t="s">
        <v>144</v>
      </c>
      <c r="B51" s="79" t="s">
        <v>50</v>
      </c>
      <c r="C51" s="84">
        <v>59674.48</v>
      </c>
      <c r="D51" s="85">
        <v>5.0000000000000001E-3</v>
      </c>
      <c r="E51" s="1">
        <f t="shared" si="1"/>
        <v>13541.11267298418</v>
      </c>
      <c r="F51" s="1">
        <f t="shared" si="2"/>
        <v>13541</v>
      </c>
      <c r="G51" s="1">
        <f t="shared" si="10"/>
        <v>9.29800000085379E-2</v>
      </c>
      <c r="K51" s="1">
        <f>+G51</f>
        <v>9.29800000085379E-2</v>
      </c>
      <c r="O51" s="1">
        <f t="shared" ca="1" si="4"/>
        <v>8.4881787668333833E-2</v>
      </c>
      <c r="P51" s="32">
        <f t="shared" si="5"/>
        <v>9.2356822174121833E-2</v>
      </c>
      <c r="Q51" s="77">
        <f t="shared" si="6"/>
        <v>44655.98</v>
      </c>
      <c r="R51" s="1">
        <f t="shared" si="7"/>
        <v>3.8835061330749848E-7</v>
      </c>
      <c r="S51" s="2">
        <v>1</v>
      </c>
      <c r="T51" s="1">
        <f t="shared" si="8"/>
        <v>3.8835061330749848E-7</v>
      </c>
    </row>
    <row r="52" spans="1:20" ht="12.95" customHeight="1" x14ac:dyDescent="0.2">
      <c r="A52" s="78" t="s">
        <v>144</v>
      </c>
      <c r="B52" s="79" t="s">
        <v>50</v>
      </c>
      <c r="C52" s="84">
        <v>59686.455000000002</v>
      </c>
      <c r="D52" s="85">
        <v>0.01</v>
      </c>
      <c r="E52" s="1">
        <f t="shared" si="1"/>
        <v>13555.623954824172</v>
      </c>
      <c r="F52" s="1">
        <f t="shared" si="2"/>
        <v>13555.5</v>
      </c>
      <c r="G52" s="1">
        <f t="shared" si="10"/>
        <v>0.10229000000254018</v>
      </c>
      <c r="K52" s="1">
        <f>+G52</f>
        <v>0.10229000000254018</v>
      </c>
      <c r="O52" s="1">
        <f t="shared" ca="1" si="4"/>
        <v>8.5054967613746771E-2</v>
      </c>
      <c r="P52" s="32">
        <f t="shared" si="5"/>
        <v>9.2626137998404162E-2</v>
      </c>
      <c r="Q52" s="77">
        <f t="shared" si="6"/>
        <v>44667.955000000002</v>
      </c>
      <c r="R52" s="1">
        <f t="shared" si="7"/>
        <v>9.3390228834983852E-5</v>
      </c>
      <c r="S52" s="2">
        <v>1</v>
      </c>
      <c r="T52" s="1">
        <f t="shared" si="8"/>
        <v>9.3390228834983852E-5</v>
      </c>
    </row>
    <row r="53" spans="1:20" ht="12.95" customHeight="1" x14ac:dyDescent="0.2">
      <c r="C53" s="35"/>
      <c r="D53" s="35"/>
    </row>
    <row r="54" spans="1:20" ht="12.95" customHeight="1" x14ac:dyDescent="0.2">
      <c r="C54" s="35"/>
      <c r="D54" s="35"/>
    </row>
    <row r="55" spans="1:20" ht="12.95" customHeight="1" x14ac:dyDescent="0.2">
      <c r="C55" s="35"/>
      <c r="D55" s="35"/>
    </row>
    <row r="56" spans="1:20" ht="12.95" customHeight="1" x14ac:dyDescent="0.2">
      <c r="C56" s="35"/>
      <c r="D56" s="35"/>
    </row>
    <row r="57" spans="1:20" ht="12.95" customHeight="1" x14ac:dyDescent="0.2">
      <c r="C57" s="35"/>
      <c r="D57" s="35"/>
    </row>
    <row r="58" spans="1:20" ht="12.95" customHeight="1" x14ac:dyDescent="0.2">
      <c r="C58" s="35"/>
      <c r="D58" s="35"/>
    </row>
    <row r="59" spans="1:20" ht="12.95" customHeight="1" x14ac:dyDescent="0.2">
      <c r="C59" s="35"/>
      <c r="D59" s="35"/>
    </row>
    <row r="60" spans="1:20" ht="12.95" customHeight="1" x14ac:dyDescent="0.2">
      <c r="C60" s="35"/>
      <c r="D60" s="35"/>
    </row>
    <row r="61" spans="1:20" ht="12.95" customHeight="1" x14ac:dyDescent="0.2">
      <c r="C61" s="35"/>
      <c r="D61" s="35"/>
    </row>
    <row r="62" spans="1:20" ht="12.95" customHeight="1" x14ac:dyDescent="0.2">
      <c r="C62" s="35"/>
      <c r="D62" s="35"/>
    </row>
    <row r="63" spans="1:20" ht="12.95" customHeight="1" x14ac:dyDescent="0.2">
      <c r="C63" s="35"/>
      <c r="D63" s="35"/>
    </row>
    <row r="64" spans="1:20" ht="12.95" customHeight="1" x14ac:dyDescent="0.2">
      <c r="C64" s="35"/>
      <c r="D64" s="35"/>
    </row>
    <row r="65" spans="3:4" ht="12.95" customHeight="1" x14ac:dyDescent="0.2">
      <c r="C65" s="35"/>
      <c r="D65" s="35"/>
    </row>
    <row r="66" spans="3:4" ht="12.95" customHeight="1" x14ac:dyDescent="0.2">
      <c r="C66" s="35"/>
      <c r="D66" s="35"/>
    </row>
    <row r="67" spans="3:4" ht="12.95" customHeight="1" x14ac:dyDescent="0.2">
      <c r="C67" s="35"/>
      <c r="D67" s="35"/>
    </row>
    <row r="68" spans="3:4" ht="12.95" customHeight="1" x14ac:dyDescent="0.2">
      <c r="C68" s="35"/>
      <c r="D68" s="35"/>
    </row>
    <row r="69" spans="3:4" ht="12.95" customHeight="1" x14ac:dyDescent="0.2">
      <c r="C69" s="35"/>
      <c r="D69" s="35"/>
    </row>
    <row r="70" spans="3:4" ht="12.95" customHeight="1" x14ac:dyDescent="0.2">
      <c r="C70" s="35"/>
      <c r="D70" s="35"/>
    </row>
    <row r="71" spans="3:4" ht="12.95" customHeight="1" x14ac:dyDescent="0.2">
      <c r="C71" s="35"/>
      <c r="D71" s="35"/>
    </row>
    <row r="72" spans="3:4" ht="12.95" customHeight="1" x14ac:dyDescent="0.2">
      <c r="C72" s="35"/>
      <c r="D72" s="35"/>
    </row>
    <row r="73" spans="3:4" ht="12.95" customHeight="1" x14ac:dyDescent="0.2">
      <c r="C73" s="35"/>
      <c r="D73" s="35"/>
    </row>
    <row r="74" spans="3:4" ht="12.95" customHeight="1" x14ac:dyDescent="0.2">
      <c r="C74" s="35"/>
      <c r="D74" s="35"/>
    </row>
    <row r="75" spans="3:4" ht="12.95" customHeight="1" x14ac:dyDescent="0.2">
      <c r="C75" s="35"/>
      <c r="D75" s="35"/>
    </row>
    <row r="76" spans="3:4" ht="12.95" customHeight="1" x14ac:dyDescent="0.2">
      <c r="C76" s="35"/>
      <c r="D76" s="35"/>
    </row>
    <row r="77" spans="3:4" ht="12.95" customHeight="1" x14ac:dyDescent="0.2">
      <c r="C77" s="35"/>
      <c r="D77" s="35"/>
    </row>
    <row r="78" spans="3:4" ht="12.95" customHeight="1" x14ac:dyDescent="0.2">
      <c r="C78" s="35"/>
      <c r="D78" s="35"/>
    </row>
    <row r="79" spans="3:4" ht="12.95" customHeight="1" x14ac:dyDescent="0.2">
      <c r="C79" s="35"/>
      <c r="D79" s="35"/>
    </row>
    <row r="80" spans="3:4" ht="12.95" customHeight="1" x14ac:dyDescent="0.2">
      <c r="C80" s="35"/>
      <c r="D80" s="35"/>
    </row>
    <row r="81" spans="3:4" ht="12.95" customHeight="1" x14ac:dyDescent="0.2">
      <c r="C81" s="35"/>
      <c r="D81" s="35"/>
    </row>
    <row r="82" spans="3:4" ht="12.95" customHeight="1" x14ac:dyDescent="0.2">
      <c r="C82" s="35"/>
      <c r="D82" s="35"/>
    </row>
    <row r="83" spans="3:4" ht="12.95" customHeight="1" x14ac:dyDescent="0.2">
      <c r="C83" s="35"/>
      <c r="D83" s="35"/>
    </row>
    <row r="84" spans="3:4" ht="12.95" customHeight="1" x14ac:dyDescent="0.2">
      <c r="C84" s="35"/>
      <c r="D84" s="35"/>
    </row>
    <row r="85" spans="3:4" ht="12.95" customHeight="1" x14ac:dyDescent="0.2">
      <c r="C85" s="35"/>
      <c r="D85" s="35"/>
    </row>
    <row r="86" spans="3:4" ht="12.95" customHeight="1" x14ac:dyDescent="0.2">
      <c r="C86" s="35"/>
      <c r="D86" s="35"/>
    </row>
    <row r="87" spans="3:4" ht="12.95" customHeight="1" x14ac:dyDescent="0.2">
      <c r="C87" s="35"/>
      <c r="D87" s="35"/>
    </row>
    <row r="88" spans="3:4" ht="12.95" customHeight="1" x14ac:dyDescent="0.2">
      <c r="C88" s="35"/>
      <c r="D88" s="35"/>
    </row>
    <row r="89" spans="3:4" ht="12.95" customHeight="1" x14ac:dyDescent="0.2">
      <c r="C89" s="35"/>
      <c r="D89" s="35"/>
    </row>
    <row r="90" spans="3:4" ht="12.95" customHeight="1" x14ac:dyDescent="0.2">
      <c r="C90" s="35"/>
      <c r="D90" s="35"/>
    </row>
    <row r="91" spans="3:4" ht="12.95" customHeight="1" x14ac:dyDescent="0.2">
      <c r="C91" s="35"/>
      <c r="D91" s="35"/>
    </row>
    <row r="92" spans="3:4" ht="12.95" customHeight="1" x14ac:dyDescent="0.2">
      <c r="C92" s="35"/>
      <c r="D92" s="35"/>
    </row>
    <row r="93" spans="3:4" ht="12.95" customHeight="1" x14ac:dyDescent="0.2">
      <c r="C93" s="35"/>
      <c r="D93" s="35"/>
    </row>
    <row r="94" spans="3:4" ht="12.95" customHeight="1" x14ac:dyDescent="0.2">
      <c r="C94" s="35"/>
      <c r="D94" s="35"/>
    </row>
    <row r="95" spans="3:4" ht="12.95" customHeight="1" x14ac:dyDescent="0.2">
      <c r="C95" s="35"/>
      <c r="D95" s="35"/>
    </row>
    <row r="96" spans="3:4" ht="12.95" customHeight="1" x14ac:dyDescent="0.2">
      <c r="C96" s="35"/>
      <c r="D96" s="35"/>
    </row>
    <row r="97" spans="3:4" ht="12.95" customHeight="1" x14ac:dyDescent="0.2">
      <c r="C97" s="35"/>
      <c r="D97" s="35"/>
    </row>
    <row r="98" spans="3:4" ht="12.95" customHeight="1" x14ac:dyDescent="0.2">
      <c r="C98" s="35"/>
      <c r="D98" s="35"/>
    </row>
    <row r="99" spans="3:4" ht="12.95" customHeight="1" x14ac:dyDescent="0.2">
      <c r="C99" s="35"/>
      <c r="D99" s="35"/>
    </row>
    <row r="100" spans="3:4" ht="12.95" customHeight="1" x14ac:dyDescent="0.2">
      <c r="C100" s="35"/>
      <c r="D100" s="35"/>
    </row>
    <row r="101" spans="3:4" ht="12.95" customHeight="1" x14ac:dyDescent="0.2">
      <c r="C101" s="35"/>
      <c r="D101" s="35"/>
    </row>
    <row r="102" spans="3:4" ht="12.95" customHeight="1" x14ac:dyDescent="0.2">
      <c r="C102" s="35"/>
      <c r="D102" s="35"/>
    </row>
    <row r="103" spans="3:4" ht="12.95" customHeight="1" x14ac:dyDescent="0.2">
      <c r="C103" s="35"/>
      <c r="D103" s="35"/>
    </row>
    <row r="104" spans="3:4" ht="12.95" customHeight="1" x14ac:dyDescent="0.2">
      <c r="C104" s="35"/>
      <c r="D104" s="35"/>
    </row>
    <row r="105" spans="3:4" ht="12.95" customHeight="1" x14ac:dyDescent="0.2">
      <c r="C105" s="35"/>
      <c r="D105" s="35"/>
    </row>
    <row r="106" spans="3:4" ht="12.95" customHeight="1" x14ac:dyDescent="0.2">
      <c r="C106" s="35"/>
      <c r="D106" s="35"/>
    </row>
    <row r="107" spans="3:4" ht="12.95" customHeight="1" x14ac:dyDescent="0.2">
      <c r="C107" s="35"/>
      <c r="D107" s="35"/>
    </row>
    <row r="108" spans="3:4" ht="12.95" customHeight="1" x14ac:dyDescent="0.2">
      <c r="C108" s="35"/>
      <c r="D108" s="35"/>
    </row>
    <row r="109" spans="3:4" ht="12.95" customHeight="1" x14ac:dyDescent="0.2">
      <c r="C109" s="35"/>
      <c r="D109" s="35"/>
    </row>
    <row r="110" spans="3:4" ht="12.95" customHeight="1" x14ac:dyDescent="0.2">
      <c r="C110" s="35"/>
      <c r="D110" s="35"/>
    </row>
    <row r="111" spans="3:4" ht="12.95" customHeight="1" x14ac:dyDescent="0.2">
      <c r="C111" s="35"/>
      <c r="D111" s="35"/>
    </row>
    <row r="112" spans="3:4" ht="12.95" customHeight="1" x14ac:dyDescent="0.2">
      <c r="C112" s="35"/>
      <c r="D112" s="35"/>
    </row>
    <row r="113" spans="3:4" ht="12.95" customHeight="1" x14ac:dyDescent="0.2">
      <c r="C113" s="35"/>
      <c r="D113" s="35"/>
    </row>
    <row r="114" spans="3:4" ht="12.95" customHeight="1" x14ac:dyDescent="0.2">
      <c r="C114" s="35"/>
      <c r="D114" s="35"/>
    </row>
    <row r="115" spans="3:4" ht="12.95" customHeight="1" x14ac:dyDescent="0.2">
      <c r="C115" s="35"/>
      <c r="D115" s="35"/>
    </row>
    <row r="116" spans="3:4" ht="12.95" customHeight="1" x14ac:dyDescent="0.2">
      <c r="C116" s="35"/>
      <c r="D116" s="35"/>
    </row>
    <row r="117" spans="3:4" ht="12.95" customHeight="1" x14ac:dyDescent="0.2">
      <c r="C117" s="35"/>
      <c r="D117" s="35"/>
    </row>
    <row r="118" spans="3:4" ht="12.95" customHeight="1" x14ac:dyDescent="0.2">
      <c r="C118" s="35"/>
      <c r="D118" s="35"/>
    </row>
    <row r="119" spans="3:4" ht="12.95" customHeight="1" x14ac:dyDescent="0.2">
      <c r="C119" s="35"/>
      <c r="D119" s="35"/>
    </row>
    <row r="120" spans="3:4" ht="12.95" customHeight="1" x14ac:dyDescent="0.2">
      <c r="C120" s="35"/>
      <c r="D120" s="35"/>
    </row>
    <row r="121" spans="3:4" ht="12.95" customHeight="1" x14ac:dyDescent="0.2">
      <c r="C121" s="35"/>
      <c r="D121" s="35"/>
    </row>
    <row r="122" spans="3:4" ht="12.95" customHeight="1" x14ac:dyDescent="0.2">
      <c r="C122" s="35"/>
      <c r="D122" s="35"/>
    </row>
    <row r="123" spans="3:4" ht="12.95" customHeight="1" x14ac:dyDescent="0.2">
      <c r="C123" s="35"/>
      <c r="D123" s="35"/>
    </row>
    <row r="124" spans="3:4" ht="12.95" customHeight="1" x14ac:dyDescent="0.2">
      <c r="C124" s="35"/>
      <c r="D124" s="35"/>
    </row>
    <row r="125" spans="3:4" ht="12.95" customHeight="1" x14ac:dyDescent="0.2">
      <c r="C125" s="35"/>
      <c r="D125" s="35"/>
    </row>
    <row r="126" spans="3:4" ht="12.95" customHeight="1" x14ac:dyDescent="0.2">
      <c r="C126" s="35"/>
      <c r="D126" s="35"/>
    </row>
    <row r="127" spans="3:4" ht="12.95" customHeight="1" x14ac:dyDescent="0.2">
      <c r="C127" s="35"/>
      <c r="D127" s="35"/>
    </row>
    <row r="128" spans="3:4" ht="12.95" customHeight="1" x14ac:dyDescent="0.2">
      <c r="C128" s="35"/>
      <c r="D128" s="35"/>
    </row>
    <row r="129" spans="3:4" ht="12.95" customHeight="1" x14ac:dyDescent="0.2">
      <c r="C129" s="35"/>
      <c r="D129" s="35"/>
    </row>
    <row r="130" spans="3:4" ht="12.95" customHeight="1" x14ac:dyDescent="0.2">
      <c r="C130" s="35"/>
      <c r="D130" s="35"/>
    </row>
    <row r="131" spans="3:4" ht="12.95" customHeight="1" x14ac:dyDescent="0.2">
      <c r="C131" s="35"/>
      <c r="D131" s="35"/>
    </row>
    <row r="132" spans="3:4" ht="12.95" customHeight="1" x14ac:dyDescent="0.2">
      <c r="C132" s="35"/>
      <c r="D132" s="35"/>
    </row>
    <row r="133" spans="3:4" ht="12.95" customHeight="1" x14ac:dyDescent="0.2">
      <c r="C133" s="35"/>
      <c r="D133" s="35"/>
    </row>
    <row r="134" spans="3:4" ht="12.95" customHeight="1" x14ac:dyDescent="0.2">
      <c r="C134" s="35"/>
      <c r="D134" s="35"/>
    </row>
    <row r="135" spans="3:4" ht="12.95" customHeight="1" x14ac:dyDescent="0.2">
      <c r="C135" s="35"/>
      <c r="D135" s="35"/>
    </row>
    <row r="136" spans="3:4" ht="12.95" customHeight="1" x14ac:dyDescent="0.2">
      <c r="C136" s="35"/>
      <c r="D136" s="35"/>
    </row>
    <row r="137" spans="3:4" ht="12.95" customHeight="1" x14ac:dyDescent="0.2">
      <c r="C137" s="35"/>
      <c r="D137" s="35"/>
    </row>
    <row r="138" spans="3:4" ht="12.95" customHeight="1" x14ac:dyDescent="0.2">
      <c r="C138" s="35"/>
      <c r="D138" s="35"/>
    </row>
    <row r="139" spans="3:4" ht="12.95" customHeight="1" x14ac:dyDescent="0.2">
      <c r="C139" s="35"/>
      <c r="D139" s="35"/>
    </row>
    <row r="140" spans="3:4" ht="12.95" customHeight="1" x14ac:dyDescent="0.2">
      <c r="C140" s="35"/>
      <c r="D140" s="35"/>
    </row>
    <row r="141" spans="3:4" ht="12.95" customHeight="1" x14ac:dyDescent="0.2">
      <c r="C141" s="35"/>
      <c r="D141" s="35"/>
    </row>
    <row r="142" spans="3:4" ht="12.95" customHeight="1" x14ac:dyDescent="0.2">
      <c r="C142" s="35"/>
      <c r="D142" s="35"/>
    </row>
    <row r="143" spans="3:4" ht="12.95" customHeight="1" x14ac:dyDescent="0.2">
      <c r="C143" s="35"/>
      <c r="D143" s="35"/>
    </row>
    <row r="144" spans="3:4" ht="12.95" customHeight="1" x14ac:dyDescent="0.2">
      <c r="C144" s="35"/>
      <c r="D144" s="35"/>
    </row>
    <row r="145" spans="3:4" ht="12.95" customHeight="1" x14ac:dyDescent="0.2">
      <c r="C145" s="35"/>
      <c r="D145" s="35"/>
    </row>
    <row r="146" spans="3:4" ht="12.95" customHeight="1" x14ac:dyDescent="0.2">
      <c r="C146" s="35"/>
      <c r="D146" s="35"/>
    </row>
    <row r="147" spans="3:4" ht="12.95" customHeight="1" x14ac:dyDescent="0.2">
      <c r="C147" s="35"/>
      <c r="D147" s="35"/>
    </row>
    <row r="148" spans="3:4" ht="12.95" customHeight="1" x14ac:dyDescent="0.2">
      <c r="C148" s="35"/>
      <c r="D148" s="35"/>
    </row>
    <row r="149" spans="3:4" ht="12.95" customHeight="1" x14ac:dyDescent="0.2">
      <c r="C149" s="35"/>
      <c r="D149" s="35"/>
    </row>
    <row r="150" spans="3:4" ht="12.95" customHeight="1" x14ac:dyDescent="0.2"/>
    <row r="151" spans="3:4" ht="12.95" customHeight="1" x14ac:dyDescent="0.2"/>
    <row r="152" spans="3:4" ht="12.95" customHeight="1" x14ac:dyDescent="0.2"/>
    <row r="153" spans="3:4" ht="12.95" customHeight="1" x14ac:dyDescent="0.2"/>
    <row r="154" spans="3:4" ht="12.95" customHeight="1" x14ac:dyDescent="0.2"/>
    <row r="155" spans="3:4" ht="12.95" customHeight="1" x14ac:dyDescent="0.2"/>
    <row r="156" spans="3:4" ht="12.95" customHeight="1" x14ac:dyDescent="0.2"/>
    <row r="157" spans="3:4" ht="12.95" customHeight="1" x14ac:dyDescent="0.2"/>
    <row r="158" spans="3:4" ht="12.95" customHeight="1" x14ac:dyDescent="0.2"/>
    <row r="159" spans="3:4" ht="12.95" customHeight="1" x14ac:dyDescent="0.2"/>
    <row r="160" spans="3:4" ht="12.95" customHeight="1" x14ac:dyDescent="0.2"/>
    <row r="161" ht="12.95" customHeight="1" x14ac:dyDescent="0.2"/>
    <row r="162" ht="12.95" customHeight="1" x14ac:dyDescent="0.2"/>
    <row r="163" ht="12.95" customHeight="1" x14ac:dyDescent="0.2"/>
    <row r="164" ht="12.95" customHeight="1" x14ac:dyDescent="0.2"/>
    <row r="165" ht="12.95" customHeight="1" x14ac:dyDescent="0.2"/>
    <row r="166" ht="12.95" customHeight="1" x14ac:dyDescent="0.2"/>
    <row r="167" ht="12.95" customHeight="1" x14ac:dyDescent="0.2"/>
    <row r="168" ht="12.95" customHeight="1" x14ac:dyDescent="0.2"/>
    <row r="169" ht="12.95" customHeight="1" x14ac:dyDescent="0.2"/>
    <row r="170" ht="12.95" customHeight="1" x14ac:dyDescent="0.2"/>
    <row r="171" ht="12.95" customHeight="1" x14ac:dyDescent="0.2"/>
    <row r="172" ht="12.95" customHeight="1" x14ac:dyDescent="0.2"/>
    <row r="173" ht="12.95" customHeight="1" x14ac:dyDescent="0.2"/>
    <row r="174" ht="12.95" customHeight="1" x14ac:dyDescent="0.2"/>
    <row r="175" ht="12.95" customHeight="1" x14ac:dyDescent="0.2"/>
    <row r="176" ht="12.95" customHeight="1" x14ac:dyDescent="0.2"/>
    <row r="177" ht="12.95" customHeight="1" x14ac:dyDescent="0.2"/>
    <row r="178" ht="12.95" customHeight="1" x14ac:dyDescent="0.2"/>
    <row r="179" ht="12.95" customHeight="1" x14ac:dyDescent="0.2"/>
    <row r="180" ht="12.95" customHeight="1" x14ac:dyDescent="0.2"/>
    <row r="181" ht="12.95" customHeight="1" x14ac:dyDescent="0.2"/>
    <row r="182" ht="12.95" customHeight="1" x14ac:dyDescent="0.2"/>
    <row r="183" ht="12.95" customHeight="1" x14ac:dyDescent="0.2"/>
    <row r="184" ht="12.95" customHeight="1" x14ac:dyDescent="0.2"/>
    <row r="185" ht="12.95" customHeight="1" x14ac:dyDescent="0.2"/>
    <row r="186" ht="12.95" customHeight="1" x14ac:dyDescent="0.2"/>
    <row r="187" ht="12.95" customHeight="1" x14ac:dyDescent="0.2"/>
    <row r="188" ht="12.95" customHeight="1" x14ac:dyDescent="0.2"/>
    <row r="189" ht="12.95" customHeight="1" x14ac:dyDescent="0.2"/>
    <row r="190" ht="12.95" customHeight="1" x14ac:dyDescent="0.2"/>
    <row r="191" ht="12.95" customHeight="1" x14ac:dyDescent="0.2"/>
    <row r="192" ht="12.95" customHeight="1" x14ac:dyDescent="0.2"/>
    <row r="193" ht="12.95" customHeight="1" x14ac:dyDescent="0.2"/>
    <row r="194" ht="12.95" customHeight="1" x14ac:dyDescent="0.2"/>
    <row r="195" ht="12.95" customHeight="1" x14ac:dyDescent="0.2"/>
    <row r="196" ht="12.95" customHeight="1" x14ac:dyDescent="0.2"/>
    <row r="197" ht="12.95" customHeight="1" x14ac:dyDescent="0.2"/>
    <row r="198" ht="12.95" customHeight="1" x14ac:dyDescent="0.2"/>
    <row r="199" ht="12.95" customHeight="1" x14ac:dyDescent="0.2"/>
    <row r="200" ht="12.95" customHeight="1" x14ac:dyDescent="0.2"/>
    <row r="201" ht="12.95" customHeight="1" x14ac:dyDescent="0.2"/>
    <row r="202" ht="12.95" customHeight="1" x14ac:dyDescent="0.2"/>
    <row r="203" ht="12.95" customHeight="1" x14ac:dyDescent="0.2"/>
    <row r="204" ht="12.95" customHeight="1" x14ac:dyDescent="0.2"/>
    <row r="205" ht="12.95" customHeight="1" x14ac:dyDescent="0.2"/>
    <row r="206" ht="12.95" customHeight="1" x14ac:dyDescent="0.2"/>
    <row r="207" ht="12.95" customHeight="1" x14ac:dyDescent="0.2"/>
    <row r="208" ht="12.95" customHeight="1" x14ac:dyDescent="0.2"/>
    <row r="209" ht="12.95" customHeight="1" x14ac:dyDescent="0.2"/>
    <row r="210" ht="12.95" customHeight="1" x14ac:dyDescent="0.2"/>
    <row r="211" ht="12.95" customHeight="1" x14ac:dyDescent="0.2"/>
    <row r="212" ht="12.95" customHeight="1" x14ac:dyDescent="0.2"/>
    <row r="213" ht="12.95" customHeight="1" x14ac:dyDescent="0.2"/>
    <row r="214" ht="12.95" customHeight="1" x14ac:dyDescent="0.2"/>
    <row r="215" ht="12.95" customHeight="1" x14ac:dyDescent="0.2"/>
    <row r="216" ht="12.95" customHeight="1" x14ac:dyDescent="0.2"/>
    <row r="217" ht="12.95" customHeight="1" x14ac:dyDescent="0.2"/>
    <row r="218" ht="12.95" customHeight="1" x14ac:dyDescent="0.2"/>
    <row r="219" ht="12.95" customHeight="1" x14ac:dyDescent="0.2"/>
    <row r="220" ht="12.95" customHeight="1" x14ac:dyDescent="0.2"/>
    <row r="221" ht="12.95" customHeight="1" x14ac:dyDescent="0.2"/>
    <row r="222" ht="12.95" customHeight="1" x14ac:dyDescent="0.2"/>
    <row r="223" ht="12.95" customHeight="1" x14ac:dyDescent="0.2"/>
    <row r="224" ht="12.95" customHeight="1" x14ac:dyDescent="0.2"/>
    <row r="225" ht="12.95" customHeight="1" x14ac:dyDescent="0.2"/>
    <row r="226" ht="12.95" customHeight="1" x14ac:dyDescent="0.2"/>
    <row r="227" ht="12.95" customHeight="1" x14ac:dyDescent="0.2"/>
    <row r="228" ht="12.95" customHeight="1" x14ac:dyDescent="0.2"/>
    <row r="229" ht="12.95" customHeight="1" x14ac:dyDescent="0.2"/>
    <row r="230" ht="12.95" customHeight="1" x14ac:dyDescent="0.2"/>
    <row r="231" ht="12.95" customHeight="1" x14ac:dyDescent="0.2"/>
    <row r="232" ht="12.95" customHeight="1" x14ac:dyDescent="0.2"/>
    <row r="233" ht="12.95" customHeight="1" x14ac:dyDescent="0.2"/>
    <row r="234" ht="12.95" customHeight="1" x14ac:dyDescent="0.2"/>
    <row r="235" ht="12.95" customHeight="1" x14ac:dyDescent="0.2"/>
    <row r="236" ht="12.95" customHeight="1" x14ac:dyDescent="0.2"/>
    <row r="237" ht="12.95" customHeight="1" x14ac:dyDescent="0.2"/>
    <row r="238" ht="12.95" customHeight="1" x14ac:dyDescent="0.2"/>
    <row r="239" ht="12.95" customHeight="1" x14ac:dyDescent="0.2"/>
    <row r="240" ht="12.95" customHeight="1" x14ac:dyDescent="0.2"/>
    <row r="241" ht="12.95" customHeight="1" x14ac:dyDescent="0.2"/>
    <row r="242" ht="12.95" customHeight="1" x14ac:dyDescent="0.2"/>
    <row r="243" ht="12.95" customHeight="1" x14ac:dyDescent="0.2"/>
    <row r="244" ht="12.95" customHeight="1" x14ac:dyDescent="0.2"/>
    <row r="245" ht="12.95" customHeight="1" x14ac:dyDescent="0.2"/>
    <row r="246" ht="12.95" customHeight="1" x14ac:dyDescent="0.2"/>
    <row r="247" ht="12.95" customHeight="1" x14ac:dyDescent="0.2"/>
    <row r="248" ht="12.95" customHeight="1" x14ac:dyDescent="0.2"/>
    <row r="249" ht="12.95" customHeight="1" x14ac:dyDescent="0.2"/>
    <row r="250" ht="12.95" customHeight="1" x14ac:dyDescent="0.2"/>
    <row r="251" ht="12.95" customHeight="1" x14ac:dyDescent="0.2"/>
    <row r="252" ht="12.95" customHeight="1" x14ac:dyDescent="0.2"/>
    <row r="253" ht="12.95" customHeight="1" x14ac:dyDescent="0.2"/>
    <row r="254" ht="12.95" customHeight="1" x14ac:dyDescent="0.2"/>
    <row r="255" ht="12.95" customHeight="1" x14ac:dyDescent="0.2"/>
    <row r="256" ht="12.95" customHeight="1" x14ac:dyDescent="0.2"/>
    <row r="257" ht="12.95" customHeight="1" x14ac:dyDescent="0.2"/>
    <row r="258" ht="12.95" customHeight="1" x14ac:dyDescent="0.2"/>
    <row r="259" ht="12.95" customHeight="1" x14ac:dyDescent="0.2"/>
    <row r="260" ht="12.95" customHeight="1" x14ac:dyDescent="0.2"/>
    <row r="261" ht="12.95" customHeight="1" x14ac:dyDescent="0.2"/>
    <row r="262" ht="12.95" customHeight="1" x14ac:dyDescent="0.2"/>
    <row r="263" ht="12.95" customHeight="1" x14ac:dyDescent="0.2"/>
    <row r="264" ht="12.95" customHeight="1" x14ac:dyDescent="0.2"/>
    <row r="265" ht="12.95" customHeight="1" x14ac:dyDescent="0.2"/>
    <row r="266" ht="12.95" customHeight="1" x14ac:dyDescent="0.2"/>
    <row r="267" ht="12.95" customHeight="1" x14ac:dyDescent="0.2"/>
    <row r="268" ht="12.95" customHeight="1" x14ac:dyDescent="0.2"/>
    <row r="269" ht="12.95" customHeight="1" x14ac:dyDescent="0.2"/>
    <row r="270" ht="12.95" customHeight="1" x14ac:dyDescent="0.2"/>
    <row r="271" ht="12.95" customHeight="1" x14ac:dyDescent="0.2"/>
    <row r="272" ht="12.95" customHeight="1" x14ac:dyDescent="0.2"/>
    <row r="273" ht="12.95" customHeight="1" x14ac:dyDescent="0.2"/>
    <row r="274" ht="12.95" customHeight="1" x14ac:dyDescent="0.2"/>
    <row r="275" ht="12.95" customHeight="1" x14ac:dyDescent="0.2"/>
    <row r="276" ht="12.95" customHeight="1" x14ac:dyDescent="0.2"/>
    <row r="277" ht="12.95" customHeight="1" x14ac:dyDescent="0.2"/>
    <row r="278" ht="12.95" customHeight="1" x14ac:dyDescent="0.2"/>
  </sheetData>
  <sheetProtection selectLockedCells="1" selectUnlockedCells="1"/>
  <sortState xmlns:xlrd2="http://schemas.microsoft.com/office/spreadsheetml/2017/richdata2" ref="A21:U52">
    <sortCondition ref="C21:C52"/>
  </sortState>
  <phoneticPr fontId="0" type="noConversion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25"/>
  <sheetViews>
    <sheetView topLeftCell="A3" workbookViewId="0">
      <selection activeCell="A22" sqref="A22"/>
    </sheetView>
  </sheetViews>
  <sheetFormatPr defaultRowHeight="12.75" x14ac:dyDescent="0.2"/>
  <cols>
    <col min="1" max="1" width="19.7109375" style="35" customWidth="1"/>
    <col min="2" max="2" width="4.42578125" customWidth="1"/>
    <col min="3" max="3" width="12.7109375" style="35" customWidth="1"/>
    <col min="4" max="4" width="5.42578125" customWidth="1"/>
    <col min="5" max="5" width="14.85546875" customWidth="1"/>
    <col min="7" max="7" width="12" customWidth="1"/>
    <col min="8" max="8" width="14.140625" style="35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65" t="s">
        <v>68</v>
      </c>
      <c r="I1" s="66" t="s">
        <v>69</v>
      </c>
      <c r="J1" s="67" t="s">
        <v>37</v>
      </c>
    </row>
    <row r="2" spans="1:16" x14ac:dyDescent="0.2">
      <c r="I2" s="68" t="s">
        <v>70</v>
      </c>
      <c r="J2" s="69" t="s">
        <v>36</v>
      </c>
    </row>
    <row r="3" spans="1:16" x14ac:dyDescent="0.2">
      <c r="A3" s="70" t="s">
        <v>71</v>
      </c>
      <c r="I3" s="68" t="s">
        <v>72</v>
      </c>
      <c r="J3" s="69" t="s">
        <v>34</v>
      </c>
    </row>
    <row r="4" spans="1:16" x14ac:dyDescent="0.2">
      <c r="I4" s="68" t="s">
        <v>73</v>
      </c>
      <c r="J4" s="69" t="s">
        <v>34</v>
      </c>
    </row>
    <row r="5" spans="1:16" x14ac:dyDescent="0.2">
      <c r="I5" s="71" t="s">
        <v>64</v>
      </c>
      <c r="J5" s="72" t="s">
        <v>35</v>
      </c>
    </row>
    <row r="11" spans="1:16" ht="12.75" customHeight="1" x14ac:dyDescent="0.2">
      <c r="A11" s="35" t="str">
        <f t="shared" ref="A11:A25" si="0">P11</f>
        <v>IBVS 5606 </v>
      </c>
      <c r="B11" s="2" t="str">
        <f t="shared" ref="B11:B25" si="1">IF(H11=INT(H11),"I","II")</f>
        <v>I</v>
      </c>
      <c r="C11" s="35">
        <f t="shared" ref="C11:C25" si="2">1*G11</f>
        <v>52723.565399999999</v>
      </c>
      <c r="D11" t="str">
        <f t="shared" ref="D11:D25" si="3">VLOOKUP(F11,I$1:J$5,2,FALSE)</f>
        <v>vis</v>
      </c>
      <c r="E11">
        <f>VLOOKUP(C11,Active!C$21:E$970,3,FALSE)</f>
        <v>5118.0078039795462</v>
      </c>
      <c r="F11" s="2" t="s">
        <v>64</v>
      </c>
      <c r="G11" t="str">
        <f t="shared" ref="G11:G25" si="4">MID(I11,3,LEN(I11)-3)</f>
        <v>52723.5654</v>
      </c>
      <c r="H11" s="35">
        <f t="shared" ref="H11:H25" si="5">1*K11</f>
        <v>270</v>
      </c>
      <c r="I11" s="73" t="s">
        <v>74</v>
      </c>
      <c r="J11" s="74" t="s">
        <v>75</v>
      </c>
      <c r="K11" s="73">
        <v>270</v>
      </c>
      <c r="L11" s="73" t="s">
        <v>76</v>
      </c>
      <c r="M11" s="74" t="s">
        <v>77</v>
      </c>
      <c r="N11" s="74" t="s">
        <v>78</v>
      </c>
      <c r="O11" s="75" t="s">
        <v>79</v>
      </c>
      <c r="P11" s="76" t="s">
        <v>80</v>
      </c>
    </row>
    <row r="12" spans="1:16" ht="12.75" customHeight="1" x14ac:dyDescent="0.2">
      <c r="A12" s="35" t="str">
        <f t="shared" si="0"/>
        <v>IBVS 5592 </v>
      </c>
      <c r="B12" s="2" t="str">
        <f t="shared" si="1"/>
        <v>I</v>
      </c>
      <c r="C12" s="35">
        <f t="shared" si="2"/>
        <v>53064.377800000002</v>
      </c>
      <c r="D12" t="str">
        <f t="shared" si="3"/>
        <v>vis</v>
      </c>
      <c r="E12">
        <f>VLOOKUP(C12,Active!C$21:E$970,3,FALSE)</f>
        <v>5531.0036111582413</v>
      </c>
      <c r="F12" s="2" t="s">
        <v>64</v>
      </c>
      <c r="G12" t="str">
        <f t="shared" si="4"/>
        <v>53064.3778</v>
      </c>
      <c r="H12" s="35">
        <f t="shared" si="5"/>
        <v>683</v>
      </c>
      <c r="I12" s="73" t="s">
        <v>81</v>
      </c>
      <c r="J12" s="74" t="s">
        <v>82</v>
      </c>
      <c r="K12" s="73">
        <v>683</v>
      </c>
      <c r="L12" s="73" t="s">
        <v>83</v>
      </c>
      <c r="M12" s="74" t="s">
        <v>77</v>
      </c>
      <c r="N12" s="74" t="s">
        <v>78</v>
      </c>
      <c r="O12" s="75" t="s">
        <v>84</v>
      </c>
      <c r="P12" s="76" t="s">
        <v>85</v>
      </c>
    </row>
    <row r="13" spans="1:16" ht="12.75" customHeight="1" x14ac:dyDescent="0.2">
      <c r="A13" s="35" t="str">
        <f t="shared" si="0"/>
        <v>IBVS 5602 </v>
      </c>
      <c r="B13" s="2" t="str">
        <f t="shared" si="1"/>
        <v>I</v>
      </c>
      <c r="C13" s="35">
        <f t="shared" si="2"/>
        <v>53081.713000000003</v>
      </c>
      <c r="D13" t="str">
        <f t="shared" si="3"/>
        <v>vis</v>
      </c>
      <c r="E13">
        <f>VLOOKUP(C13,Active!C$21:E$970,3,FALSE)</f>
        <v>5552.0103729914508</v>
      </c>
      <c r="F13" s="2" t="s">
        <v>64</v>
      </c>
      <c r="G13" t="str">
        <f t="shared" si="4"/>
        <v>53081.713</v>
      </c>
      <c r="H13" s="35">
        <f t="shared" si="5"/>
        <v>704</v>
      </c>
      <c r="I13" s="73" t="s">
        <v>86</v>
      </c>
      <c r="J13" s="74" t="s">
        <v>87</v>
      </c>
      <c r="K13" s="73">
        <v>704</v>
      </c>
      <c r="L13" s="73" t="s">
        <v>88</v>
      </c>
      <c r="M13" s="74" t="s">
        <v>77</v>
      </c>
      <c r="N13" s="74" t="s">
        <v>78</v>
      </c>
      <c r="O13" s="75" t="s">
        <v>89</v>
      </c>
      <c r="P13" s="76" t="s">
        <v>90</v>
      </c>
    </row>
    <row r="14" spans="1:16" ht="12.75" customHeight="1" x14ac:dyDescent="0.2">
      <c r="A14" s="35" t="str">
        <f t="shared" si="0"/>
        <v>IBVS 5938 </v>
      </c>
      <c r="B14" s="2" t="str">
        <f t="shared" si="1"/>
        <v>II</v>
      </c>
      <c r="C14" s="35">
        <f t="shared" si="2"/>
        <v>54949.640299999999</v>
      </c>
      <c r="D14" t="str">
        <f t="shared" si="3"/>
        <v>vis</v>
      </c>
      <c r="E14">
        <f>VLOOKUP(C14,Active!C$21:E$970,3,FALSE)</f>
        <v>7815.5610625045456</v>
      </c>
      <c r="F14" s="2" t="s">
        <v>64</v>
      </c>
      <c r="G14" t="str">
        <f t="shared" si="4"/>
        <v>54949.6403</v>
      </c>
      <c r="H14" s="35">
        <f t="shared" si="5"/>
        <v>2967.5</v>
      </c>
      <c r="I14" s="73" t="s">
        <v>91</v>
      </c>
      <c r="J14" s="74" t="s">
        <v>92</v>
      </c>
      <c r="K14" s="73">
        <v>2967.5</v>
      </c>
      <c r="L14" s="73" t="s">
        <v>93</v>
      </c>
      <c r="M14" s="74" t="s">
        <v>94</v>
      </c>
      <c r="N14" s="74" t="s">
        <v>64</v>
      </c>
      <c r="O14" s="75" t="s">
        <v>95</v>
      </c>
      <c r="P14" s="76" t="s">
        <v>96</v>
      </c>
    </row>
    <row r="15" spans="1:16" ht="12.75" customHeight="1" x14ac:dyDescent="0.2">
      <c r="A15" s="35" t="str">
        <f t="shared" si="0"/>
        <v>IBVS 5974 </v>
      </c>
      <c r="B15" s="2" t="str">
        <f t="shared" si="1"/>
        <v>II</v>
      </c>
      <c r="C15" s="35">
        <f t="shared" si="2"/>
        <v>55231.836499999998</v>
      </c>
      <c r="D15" t="str">
        <f t="shared" si="3"/>
        <v>vis</v>
      </c>
      <c r="E15">
        <f>VLOOKUP(C15,Active!C$21:E$970,3,FALSE)</f>
        <v>8157.525871888708</v>
      </c>
      <c r="F15" s="2" t="s">
        <v>64</v>
      </c>
      <c r="G15" t="str">
        <f t="shared" si="4"/>
        <v>55231.8365</v>
      </c>
      <c r="H15" s="35">
        <f t="shared" si="5"/>
        <v>3309.5</v>
      </c>
      <c r="I15" s="73" t="s">
        <v>97</v>
      </c>
      <c r="J15" s="74" t="s">
        <v>98</v>
      </c>
      <c r="K15" s="73">
        <v>3309.5</v>
      </c>
      <c r="L15" s="73" t="s">
        <v>99</v>
      </c>
      <c r="M15" s="74" t="s">
        <v>94</v>
      </c>
      <c r="N15" s="74" t="s">
        <v>64</v>
      </c>
      <c r="O15" s="75" t="s">
        <v>95</v>
      </c>
      <c r="P15" s="76" t="s">
        <v>100</v>
      </c>
    </row>
    <row r="16" spans="1:16" ht="12.75" customHeight="1" x14ac:dyDescent="0.2">
      <c r="A16" s="35" t="str">
        <f t="shared" si="0"/>
        <v>IBVS 6114 </v>
      </c>
      <c r="B16" s="2" t="str">
        <f t="shared" si="1"/>
        <v>I</v>
      </c>
      <c r="C16" s="35">
        <f t="shared" si="2"/>
        <v>56057.475330000001</v>
      </c>
      <c r="D16" t="str">
        <f t="shared" si="3"/>
        <v>vis</v>
      </c>
      <c r="E16">
        <f>VLOOKUP(C16,Active!C$21:E$970,3,FALSE)</f>
        <v>9158.0334092726825</v>
      </c>
      <c r="F16" s="2" t="s">
        <v>64</v>
      </c>
      <c r="G16" t="str">
        <f t="shared" si="4"/>
        <v>56057.47533</v>
      </c>
      <c r="H16" s="35">
        <f t="shared" si="5"/>
        <v>4310</v>
      </c>
      <c r="I16" s="73" t="s">
        <v>101</v>
      </c>
      <c r="J16" s="74" t="s">
        <v>102</v>
      </c>
      <c r="K16" s="73">
        <v>4310</v>
      </c>
      <c r="L16" s="73" t="s">
        <v>103</v>
      </c>
      <c r="M16" s="74" t="s">
        <v>94</v>
      </c>
      <c r="N16" s="74" t="s">
        <v>69</v>
      </c>
      <c r="O16" s="75" t="s">
        <v>104</v>
      </c>
      <c r="P16" s="76" t="s">
        <v>105</v>
      </c>
    </row>
    <row r="17" spans="1:16" ht="12.75" customHeight="1" x14ac:dyDescent="0.2">
      <c r="A17" s="35" t="str">
        <f t="shared" si="0"/>
        <v>IBVS 6114 </v>
      </c>
      <c r="B17" s="2" t="str">
        <f t="shared" si="1"/>
        <v>II</v>
      </c>
      <c r="C17" s="35">
        <f t="shared" si="2"/>
        <v>56319.486409999998</v>
      </c>
      <c r="D17" t="str">
        <f t="shared" si="3"/>
        <v>vis</v>
      </c>
      <c r="E17">
        <f>VLOOKUP(C17,Active!C$21:E$970,3,FALSE)</f>
        <v>9475.5379292794642</v>
      </c>
      <c r="F17" s="2" t="s">
        <v>64</v>
      </c>
      <c r="G17" t="str">
        <f t="shared" si="4"/>
        <v>56319.48641</v>
      </c>
      <c r="H17" s="35">
        <f t="shared" si="5"/>
        <v>4627.5</v>
      </c>
      <c r="I17" s="73" t="s">
        <v>106</v>
      </c>
      <c r="J17" s="74" t="s">
        <v>107</v>
      </c>
      <c r="K17" s="73">
        <v>4627.5</v>
      </c>
      <c r="L17" s="73" t="s">
        <v>108</v>
      </c>
      <c r="M17" s="74" t="s">
        <v>94</v>
      </c>
      <c r="N17" s="74" t="s">
        <v>69</v>
      </c>
      <c r="O17" s="75" t="s">
        <v>104</v>
      </c>
      <c r="P17" s="76" t="s">
        <v>105</v>
      </c>
    </row>
    <row r="18" spans="1:16" ht="12.75" customHeight="1" x14ac:dyDescent="0.2">
      <c r="A18" s="35" t="str">
        <f t="shared" si="0"/>
        <v>IBVS 6114 </v>
      </c>
      <c r="B18" s="2" t="str">
        <f t="shared" si="1"/>
        <v>I</v>
      </c>
      <c r="C18" s="35">
        <f t="shared" si="2"/>
        <v>56713.534420000004</v>
      </c>
      <c r="D18" t="str">
        <f t="shared" si="3"/>
        <v>vis</v>
      </c>
      <c r="E18">
        <f>VLOOKUP(C18,Active!C$21:E$970,3,FALSE)</f>
        <v>9953.0445456969119</v>
      </c>
      <c r="F18" s="2" t="s">
        <v>64</v>
      </c>
      <c r="G18" t="str">
        <f t="shared" si="4"/>
        <v>56713.53442</v>
      </c>
      <c r="H18" s="35">
        <f t="shared" si="5"/>
        <v>5105</v>
      </c>
      <c r="I18" s="73" t="s">
        <v>109</v>
      </c>
      <c r="J18" s="74" t="s">
        <v>110</v>
      </c>
      <c r="K18" s="73">
        <v>5105</v>
      </c>
      <c r="L18" s="73" t="s">
        <v>111</v>
      </c>
      <c r="M18" s="74" t="s">
        <v>94</v>
      </c>
      <c r="N18" s="74" t="s">
        <v>112</v>
      </c>
      <c r="O18" s="75" t="s">
        <v>104</v>
      </c>
      <c r="P18" s="76" t="s">
        <v>105</v>
      </c>
    </row>
    <row r="19" spans="1:16" ht="12.75" customHeight="1" x14ac:dyDescent="0.2">
      <c r="A19" s="35" t="str">
        <f t="shared" si="0"/>
        <v>IBVS 6114 </v>
      </c>
      <c r="B19" s="2" t="str">
        <f t="shared" si="1"/>
        <v>II</v>
      </c>
      <c r="C19" s="35">
        <f t="shared" si="2"/>
        <v>56725.499830000001</v>
      </c>
      <c r="D19" t="str">
        <f t="shared" si="3"/>
        <v>vis</v>
      </c>
      <c r="E19">
        <f>VLOOKUP(C19,Active!C$21:E$970,3,FALSE)</f>
        <v>9967.5442063934497</v>
      </c>
      <c r="F19" s="2" t="s">
        <v>64</v>
      </c>
      <c r="G19" t="str">
        <f t="shared" si="4"/>
        <v>56725.49983</v>
      </c>
      <c r="H19" s="35">
        <f t="shared" si="5"/>
        <v>5119.5</v>
      </c>
      <c r="I19" s="73" t="s">
        <v>113</v>
      </c>
      <c r="J19" s="74" t="s">
        <v>114</v>
      </c>
      <c r="K19" s="73">
        <v>5119.5</v>
      </c>
      <c r="L19" s="73" t="s">
        <v>115</v>
      </c>
      <c r="M19" s="74" t="s">
        <v>94</v>
      </c>
      <c r="N19" s="74" t="s">
        <v>112</v>
      </c>
      <c r="O19" s="75" t="s">
        <v>104</v>
      </c>
      <c r="P19" s="76" t="s">
        <v>105</v>
      </c>
    </row>
    <row r="20" spans="1:16" ht="12.75" customHeight="1" x14ac:dyDescent="0.2">
      <c r="A20" s="35" t="str">
        <f t="shared" si="0"/>
        <v>OEJV 0172 </v>
      </c>
      <c r="B20" s="2" t="str">
        <f t="shared" si="1"/>
        <v>I</v>
      </c>
      <c r="C20" s="35">
        <f t="shared" si="2"/>
        <v>56761.396999999997</v>
      </c>
      <c r="D20" t="str">
        <f t="shared" si="3"/>
        <v>vis</v>
      </c>
      <c r="E20">
        <f>VLOOKUP(C20,Active!C$21:E$970,3,FALSE)</f>
        <v>10011.044327573252</v>
      </c>
      <c r="F20" s="2" t="s">
        <v>64</v>
      </c>
      <c r="G20" t="str">
        <f t="shared" si="4"/>
        <v>56761.397</v>
      </c>
      <c r="H20" s="35">
        <f t="shared" si="5"/>
        <v>5163</v>
      </c>
      <c r="I20" s="73" t="s">
        <v>116</v>
      </c>
      <c r="J20" s="74" t="s">
        <v>117</v>
      </c>
      <c r="K20" s="73">
        <v>5163</v>
      </c>
      <c r="L20" s="73" t="s">
        <v>118</v>
      </c>
      <c r="M20" s="74" t="s">
        <v>94</v>
      </c>
      <c r="N20" s="74" t="s">
        <v>119</v>
      </c>
      <c r="O20" s="75" t="s">
        <v>120</v>
      </c>
      <c r="P20" s="76" t="s">
        <v>121</v>
      </c>
    </row>
    <row r="21" spans="1:16" ht="12.75" customHeight="1" x14ac:dyDescent="0.2">
      <c r="A21" s="35" t="str">
        <f t="shared" si="0"/>
        <v>OEJV 0172 </v>
      </c>
      <c r="B21" s="2" t="str">
        <f t="shared" si="1"/>
        <v>II</v>
      </c>
      <c r="C21" s="35">
        <f t="shared" si="2"/>
        <v>56768.415000000001</v>
      </c>
      <c r="D21" t="str">
        <f t="shared" si="3"/>
        <v>vis</v>
      </c>
      <c r="E21">
        <f>VLOOKUP(C21,Active!C$21:E$970,3,FALSE)</f>
        <v>10019.548726400235</v>
      </c>
      <c r="F21" s="2" t="s">
        <v>64</v>
      </c>
      <c r="G21" t="str">
        <f t="shared" si="4"/>
        <v>56768.415</v>
      </c>
      <c r="H21" s="35">
        <f t="shared" si="5"/>
        <v>5171.5</v>
      </c>
      <c r="I21" s="73" t="s">
        <v>122</v>
      </c>
      <c r="J21" s="74" t="s">
        <v>123</v>
      </c>
      <c r="K21" s="73">
        <v>5171.5</v>
      </c>
      <c r="L21" s="73" t="s">
        <v>88</v>
      </c>
      <c r="M21" s="74" t="s">
        <v>94</v>
      </c>
      <c r="N21" s="74" t="s">
        <v>119</v>
      </c>
      <c r="O21" s="75" t="s">
        <v>120</v>
      </c>
      <c r="P21" s="76" t="s">
        <v>121</v>
      </c>
    </row>
    <row r="22" spans="1:16" ht="12.75" customHeight="1" x14ac:dyDescent="0.2">
      <c r="A22" s="35" t="str">
        <f t="shared" si="0"/>
        <v>VSB 45 </v>
      </c>
      <c r="B22" s="2" t="str">
        <f t="shared" si="1"/>
        <v>II</v>
      </c>
      <c r="C22" s="35">
        <f t="shared" si="2"/>
        <v>53761.281799999997</v>
      </c>
      <c r="D22" t="str">
        <f t="shared" si="3"/>
        <v>vis</v>
      </c>
      <c r="E22">
        <f>VLOOKUP(C22,Active!C$21:E$970,3,FALSE)</f>
        <v>6375.5105305251918</v>
      </c>
      <c r="F22" s="2" t="s">
        <v>64</v>
      </c>
      <c r="G22" t="str">
        <f t="shared" si="4"/>
        <v>53761.2818</v>
      </c>
      <c r="H22" s="35">
        <f t="shared" si="5"/>
        <v>1527.5</v>
      </c>
      <c r="I22" s="73" t="s">
        <v>124</v>
      </c>
      <c r="J22" s="74" t="s">
        <v>125</v>
      </c>
      <c r="K22" s="73">
        <v>1527.5</v>
      </c>
      <c r="L22" s="73" t="s">
        <v>99</v>
      </c>
      <c r="M22" s="74" t="s">
        <v>77</v>
      </c>
      <c r="N22" s="74" t="s">
        <v>78</v>
      </c>
      <c r="O22" s="75" t="s">
        <v>126</v>
      </c>
      <c r="P22" s="76" t="s">
        <v>55</v>
      </c>
    </row>
    <row r="23" spans="1:16" ht="12.75" customHeight="1" x14ac:dyDescent="0.2">
      <c r="A23" s="35" t="str">
        <f t="shared" si="0"/>
        <v>VSB 45 </v>
      </c>
      <c r="B23" s="2" t="str">
        <f t="shared" si="1"/>
        <v>II</v>
      </c>
      <c r="C23" s="35">
        <f t="shared" si="2"/>
        <v>53809.146500000003</v>
      </c>
      <c r="D23" t="str">
        <f t="shared" si="3"/>
        <v>vis</v>
      </c>
      <c r="E23">
        <f>VLOOKUP(C23,Active!C$21:E$970,3,FALSE)</f>
        <v>6433.5128814134459</v>
      </c>
      <c r="F23" s="2" t="s">
        <v>64</v>
      </c>
      <c r="G23" t="str">
        <f t="shared" si="4"/>
        <v>53809.1465</v>
      </c>
      <c r="H23" s="35">
        <f t="shared" si="5"/>
        <v>1585.5</v>
      </c>
      <c r="I23" s="73" t="s">
        <v>127</v>
      </c>
      <c r="J23" s="74" t="s">
        <v>128</v>
      </c>
      <c r="K23" s="73">
        <v>1585.5</v>
      </c>
      <c r="L23" s="73" t="s">
        <v>129</v>
      </c>
      <c r="M23" s="74" t="s">
        <v>77</v>
      </c>
      <c r="N23" s="74" t="s">
        <v>78</v>
      </c>
      <c r="O23" s="75" t="s">
        <v>126</v>
      </c>
      <c r="P23" s="76" t="s">
        <v>55</v>
      </c>
    </row>
    <row r="24" spans="1:16" ht="12.75" customHeight="1" x14ac:dyDescent="0.2">
      <c r="A24" s="35" t="str">
        <f t="shared" si="0"/>
        <v>VSB 48 </v>
      </c>
      <c r="B24" s="2" t="str">
        <f t="shared" si="1"/>
        <v>I</v>
      </c>
      <c r="C24" s="35">
        <f t="shared" si="2"/>
        <v>54528.321199999998</v>
      </c>
      <c r="D24" t="str">
        <f t="shared" si="3"/>
        <v>vis</v>
      </c>
      <c r="E24">
        <f>VLOOKUP(C24,Active!C$21:E$970,3,FALSE)</f>
        <v>7305.0073919682027</v>
      </c>
      <c r="F24" s="2" t="s">
        <v>64</v>
      </c>
      <c r="G24" t="str">
        <f t="shared" si="4"/>
        <v>54528.3212</v>
      </c>
      <c r="H24" s="35">
        <f t="shared" si="5"/>
        <v>2457</v>
      </c>
      <c r="I24" s="73" t="s">
        <v>130</v>
      </c>
      <c r="J24" s="74" t="s">
        <v>131</v>
      </c>
      <c r="K24" s="73">
        <v>2457</v>
      </c>
      <c r="L24" s="73" t="s">
        <v>132</v>
      </c>
      <c r="M24" s="74" t="s">
        <v>94</v>
      </c>
      <c r="N24" s="74" t="s">
        <v>133</v>
      </c>
      <c r="O24" s="75" t="s">
        <v>134</v>
      </c>
      <c r="P24" s="76" t="s">
        <v>56</v>
      </c>
    </row>
    <row r="25" spans="1:16" ht="12.75" customHeight="1" x14ac:dyDescent="0.2">
      <c r="A25" s="35" t="str">
        <f t="shared" si="0"/>
        <v>OEJV 0137 </v>
      </c>
      <c r="B25" s="2" t="str">
        <f t="shared" si="1"/>
        <v>II</v>
      </c>
      <c r="C25" s="35">
        <f t="shared" si="2"/>
        <v>55280.523200000003</v>
      </c>
      <c r="D25" t="str">
        <f t="shared" si="3"/>
        <v>vis</v>
      </c>
      <c r="E25" t="e">
        <f>VLOOKUP(C25,Active!C$21:E$970,3,FALSE)</f>
        <v>#N/A</v>
      </c>
      <c r="F25" s="2" t="s">
        <v>64</v>
      </c>
      <c r="G25" t="str">
        <f t="shared" si="4"/>
        <v>55280.5232</v>
      </c>
      <c r="H25" s="35">
        <f t="shared" si="5"/>
        <v>3368.5</v>
      </c>
      <c r="I25" s="73" t="s">
        <v>135</v>
      </c>
      <c r="J25" s="74" t="s">
        <v>136</v>
      </c>
      <c r="K25" s="73">
        <v>3368.5</v>
      </c>
      <c r="L25" s="73" t="s">
        <v>137</v>
      </c>
      <c r="M25" s="74" t="s">
        <v>94</v>
      </c>
      <c r="N25" s="74" t="s">
        <v>112</v>
      </c>
      <c r="O25" s="75" t="s">
        <v>138</v>
      </c>
      <c r="P25" s="76" t="s">
        <v>139</v>
      </c>
    </row>
  </sheetData>
  <sheetProtection selectLockedCells="1" selectUnlockedCells="1"/>
  <phoneticPr fontId="0" type="noConversion"/>
  <hyperlinks>
    <hyperlink ref="P11" r:id="rId1" xr:uid="{00000000-0004-0000-0100-000000000000}"/>
    <hyperlink ref="P12" r:id="rId2" xr:uid="{00000000-0004-0000-0100-000001000000}"/>
    <hyperlink ref="P13" r:id="rId3" xr:uid="{00000000-0004-0000-0100-000002000000}"/>
    <hyperlink ref="P14" r:id="rId4" xr:uid="{00000000-0004-0000-0100-000003000000}"/>
    <hyperlink ref="P15" r:id="rId5" xr:uid="{00000000-0004-0000-0100-000004000000}"/>
    <hyperlink ref="P16" r:id="rId6" xr:uid="{00000000-0004-0000-0100-000005000000}"/>
    <hyperlink ref="P17" r:id="rId7" xr:uid="{00000000-0004-0000-0100-000006000000}"/>
    <hyperlink ref="P18" r:id="rId8" xr:uid="{00000000-0004-0000-0100-000007000000}"/>
    <hyperlink ref="P19" r:id="rId9" xr:uid="{00000000-0004-0000-0100-000008000000}"/>
    <hyperlink ref="P20" r:id="rId10" xr:uid="{00000000-0004-0000-0100-000009000000}"/>
    <hyperlink ref="P21" r:id="rId11" xr:uid="{00000000-0004-0000-0100-00000A000000}"/>
    <hyperlink ref="P22" r:id="rId12" xr:uid="{00000000-0004-0000-0100-00000B000000}"/>
    <hyperlink ref="P23" r:id="rId13" xr:uid="{00000000-0004-0000-0100-00000C000000}"/>
    <hyperlink ref="P24" r:id="rId14" xr:uid="{00000000-0004-0000-0100-00000D000000}"/>
    <hyperlink ref="P25" r:id="rId15" xr:uid="{00000000-0004-0000-0100-00000E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Active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2023-01-25T05:06:47Z</dcterms:created>
  <dcterms:modified xsi:type="dcterms:W3CDTF">2024-02-26T23:58:00Z</dcterms:modified>
</cp:coreProperties>
</file>