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A15926-56FD-4ED6-BD7A-9DF944828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49" i="3" l="1"/>
  <c r="E49" i="3"/>
  <c r="F49" i="3" s="1"/>
  <c r="G49" i="3" s="1"/>
  <c r="K49" i="3" s="1"/>
  <c r="Q48" i="3"/>
  <c r="E48" i="3"/>
  <c r="F48" i="3" s="1"/>
  <c r="G48" i="3" s="1"/>
  <c r="K48" i="3" s="1"/>
  <c r="Q47" i="3"/>
  <c r="F47" i="3"/>
  <c r="G47" i="3" s="1"/>
  <c r="K47" i="3" s="1"/>
  <c r="E47" i="3"/>
  <c r="Q46" i="3"/>
  <c r="E46" i="3"/>
  <c r="F46" i="3" s="1"/>
  <c r="G46" i="3" s="1"/>
  <c r="K46" i="3" s="1"/>
  <c r="Q45" i="3"/>
  <c r="E45" i="3"/>
  <c r="F45" i="3" s="1"/>
  <c r="G45" i="3" s="1"/>
  <c r="K45" i="3" s="1"/>
  <c r="Q44" i="3"/>
  <c r="E44" i="3"/>
  <c r="F44" i="3" s="1"/>
  <c r="G44" i="3" s="1"/>
  <c r="K44" i="3" s="1"/>
  <c r="Q43" i="3"/>
  <c r="G43" i="3"/>
  <c r="I43" i="3" s="1"/>
  <c r="F43" i="3"/>
  <c r="E43" i="3"/>
  <c r="Q42" i="3"/>
  <c r="E42" i="3"/>
  <c r="F42" i="3" s="1"/>
  <c r="G42" i="3" s="1"/>
  <c r="K42" i="3" s="1"/>
  <c r="Q41" i="3"/>
  <c r="E41" i="3"/>
  <c r="F41" i="3" s="1"/>
  <c r="G41" i="3" s="1"/>
  <c r="K41" i="3" s="1"/>
  <c r="Q40" i="3"/>
  <c r="F40" i="3"/>
  <c r="G40" i="3" s="1"/>
  <c r="K40" i="3" s="1"/>
  <c r="E40" i="3"/>
  <c r="Q39" i="3"/>
  <c r="G39" i="3"/>
  <c r="J39" i="3" s="1"/>
  <c r="F39" i="3"/>
  <c r="E39" i="3"/>
  <c r="Q38" i="3"/>
  <c r="E38" i="3"/>
  <c r="F38" i="3" s="1"/>
  <c r="G38" i="3" s="1"/>
  <c r="J38" i="3" s="1"/>
  <c r="Q37" i="3"/>
  <c r="E37" i="3"/>
  <c r="F37" i="3" s="1"/>
  <c r="G37" i="3" s="1"/>
  <c r="K37" i="3" s="1"/>
  <c r="Q36" i="3"/>
  <c r="F36" i="3"/>
  <c r="G36" i="3" s="1"/>
  <c r="J36" i="3" s="1"/>
  <c r="E36" i="3"/>
  <c r="Q35" i="3"/>
  <c r="G35" i="3"/>
  <c r="J35" i="3" s="1"/>
  <c r="F35" i="3"/>
  <c r="E35" i="3"/>
  <c r="Q34" i="3"/>
  <c r="E34" i="3"/>
  <c r="F34" i="3" s="1"/>
  <c r="G34" i="3" s="1"/>
  <c r="J34" i="3" s="1"/>
  <c r="Q33" i="3"/>
  <c r="E33" i="3"/>
  <c r="F33" i="3" s="1"/>
  <c r="G33" i="3" s="1"/>
  <c r="K33" i="3" s="1"/>
  <c r="Q32" i="3"/>
  <c r="F32" i="3"/>
  <c r="G32" i="3" s="1"/>
  <c r="K32" i="3" s="1"/>
  <c r="E32" i="3"/>
  <c r="Q31" i="3"/>
  <c r="E31" i="3"/>
  <c r="F31" i="3" s="1"/>
  <c r="G31" i="3" s="1"/>
  <c r="K31" i="3" s="1"/>
  <c r="Q30" i="3"/>
  <c r="E30" i="3"/>
  <c r="F30" i="3" s="1"/>
  <c r="G30" i="3" s="1"/>
  <c r="K30" i="3" s="1"/>
  <c r="Q29" i="3"/>
  <c r="E29" i="3"/>
  <c r="F29" i="3" s="1"/>
  <c r="G29" i="3" s="1"/>
  <c r="K29" i="3" s="1"/>
  <c r="Q28" i="3"/>
  <c r="E28" i="3"/>
  <c r="F28" i="3" s="1"/>
  <c r="G28" i="3" s="1"/>
  <c r="J28" i="3" s="1"/>
  <c r="Q27" i="3"/>
  <c r="E27" i="3"/>
  <c r="F27" i="3" s="1"/>
  <c r="G27" i="3" s="1"/>
  <c r="K27" i="3" s="1"/>
  <c r="Q26" i="3"/>
  <c r="E26" i="3"/>
  <c r="F26" i="3" s="1"/>
  <c r="G26" i="3" s="1"/>
  <c r="K26" i="3" s="1"/>
  <c r="Q25" i="3"/>
  <c r="E25" i="3"/>
  <c r="F25" i="3" s="1"/>
  <c r="G25" i="3" s="1"/>
  <c r="J25" i="3" s="1"/>
  <c r="Q24" i="3"/>
  <c r="F24" i="3"/>
  <c r="G24" i="3" s="1"/>
  <c r="J24" i="3" s="1"/>
  <c r="E24" i="3"/>
  <c r="Q23" i="3"/>
  <c r="G23" i="3"/>
  <c r="J23" i="3" s="1"/>
  <c r="F23" i="3"/>
  <c r="E23" i="3"/>
  <c r="Q22" i="3"/>
  <c r="E22" i="3"/>
  <c r="F22" i="3" s="1"/>
  <c r="G22" i="3" s="1"/>
  <c r="K22" i="3" s="1"/>
  <c r="Q21" i="3"/>
  <c r="E21" i="3"/>
  <c r="F21" i="3" s="1"/>
  <c r="G21" i="3" s="1"/>
  <c r="H21" i="3" s="1"/>
  <c r="C17" i="3"/>
  <c r="F14" i="3"/>
  <c r="D9" i="3"/>
  <c r="C9" i="3"/>
  <c r="G4" i="3"/>
  <c r="F4" i="3"/>
  <c r="E43" i="1"/>
  <c r="F43" i="1" s="1"/>
  <c r="G43" i="1" s="1"/>
  <c r="I43" i="1" s="1"/>
  <c r="Q43" i="1"/>
  <c r="E49" i="1"/>
  <c r="F49" i="1" s="1"/>
  <c r="G49" i="1" s="1"/>
  <c r="K49" i="1" s="1"/>
  <c r="Q49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F4" i="1"/>
  <c r="G4" i="1"/>
  <c r="C9" i="1"/>
  <c r="D9" i="1"/>
  <c r="F14" i="1"/>
  <c r="C17" i="1"/>
  <c r="E21" i="1"/>
  <c r="F21" i="1" s="1"/>
  <c r="G21" i="1" s="1"/>
  <c r="H21" i="1" s="1"/>
  <c r="Q21" i="1"/>
  <c r="E22" i="1"/>
  <c r="F22" i="1" s="1"/>
  <c r="G22" i="1" s="1"/>
  <c r="K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J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K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4" i="1"/>
  <c r="F44" i="1" s="1"/>
  <c r="G44" i="1" s="1"/>
  <c r="K44" i="1" s="1"/>
  <c r="Q44" i="1"/>
  <c r="A11" i="2"/>
  <c r="B11" i="2"/>
  <c r="D11" i="2"/>
  <c r="G11" i="2"/>
  <c r="C11" i="2"/>
  <c r="E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D18" i="2"/>
  <c r="G18" i="2"/>
  <c r="C18" i="2"/>
  <c r="H18" i="2"/>
  <c r="A19" i="2"/>
  <c r="B19" i="2"/>
  <c r="C19" i="2"/>
  <c r="E19" i="2"/>
  <c r="D19" i="2"/>
  <c r="G19" i="2"/>
  <c r="H19" i="2"/>
  <c r="A20" i="2"/>
  <c r="C20" i="2"/>
  <c r="D20" i="2"/>
  <c r="G20" i="2"/>
  <c r="H20" i="2"/>
  <c r="B20" i="2"/>
  <c r="A21" i="2"/>
  <c r="D21" i="2"/>
  <c r="G21" i="2"/>
  <c r="C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H23" i="2"/>
  <c r="B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B26" i="2"/>
  <c r="C26" i="2"/>
  <c r="D26" i="2"/>
  <c r="G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C12" i="3"/>
  <c r="C11" i="3"/>
  <c r="C12" i="1"/>
  <c r="C11" i="1"/>
  <c r="O24" i="3" l="1"/>
  <c r="O49" i="3"/>
  <c r="O45" i="3"/>
  <c r="O41" i="3"/>
  <c r="O37" i="3"/>
  <c r="O33" i="3"/>
  <c r="O29" i="3"/>
  <c r="O25" i="3"/>
  <c r="O21" i="3"/>
  <c r="O48" i="3"/>
  <c r="O28" i="3"/>
  <c r="O36" i="3"/>
  <c r="O32" i="3"/>
  <c r="O46" i="3"/>
  <c r="O42" i="3"/>
  <c r="O38" i="3"/>
  <c r="O34" i="3"/>
  <c r="O30" i="3"/>
  <c r="O26" i="3"/>
  <c r="O22" i="3"/>
  <c r="O47" i="3"/>
  <c r="O43" i="3"/>
  <c r="O35" i="3"/>
  <c r="O31" i="3"/>
  <c r="O39" i="3"/>
  <c r="O27" i="3"/>
  <c r="O23" i="3"/>
  <c r="O44" i="3"/>
  <c r="O40" i="3"/>
  <c r="C15" i="3"/>
  <c r="C16" i="3"/>
  <c r="D18" i="3" s="1"/>
  <c r="F15" i="3"/>
  <c r="E18" i="2"/>
  <c r="E20" i="2"/>
  <c r="E13" i="2"/>
  <c r="E15" i="2"/>
  <c r="E24" i="2"/>
  <c r="E12" i="2"/>
  <c r="E26" i="2"/>
  <c r="O43" i="1"/>
  <c r="E23" i="2"/>
  <c r="E21" i="2"/>
  <c r="E16" i="2"/>
  <c r="E25" i="2"/>
  <c r="E17" i="2"/>
  <c r="O49" i="1"/>
  <c r="O47" i="1"/>
  <c r="O46" i="1"/>
  <c r="O45" i="1"/>
  <c r="O48" i="1"/>
  <c r="C16" i="1"/>
  <c r="D18" i="1" s="1"/>
  <c r="O37" i="1"/>
  <c r="O42" i="1"/>
  <c r="O29" i="1"/>
  <c r="C15" i="1"/>
  <c r="O23" i="1"/>
  <c r="O35" i="1"/>
  <c r="O28" i="1"/>
  <c r="O27" i="1"/>
  <c r="O25" i="1"/>
  <c r="O34" i="1"/>
  <c r="O21" i="1"/>
  <c r="O22" i="1"/>
  <c r="O26" i="1"/>
  <c r="O24" i="1"/>
  <c r="O41" i="1"/>
  <c r="O32" i="1"/>
  <c r="O40" i="1"/>
  <c r="O39" i="1"/>
  <c r="O33" i="1"/>
  <c r="O36" i="1"/>
  <c r="O30" i="1"/>
  <c r="O31" i="1"/>
  <c r="O44" i="1"/>
  <c r="O38" i="1"/>
  <c r="F15" i="1"/>
  <c r="C18" i="3" l="1"/>
  <c r="F16" i="3"/>
  <c r="F18" i="3" s="1"/>
  <c r="C18" i="1"/>
  <c r="F16" i="1"/>
  <c r="F17" i="1" s="1"/>
  <c r="F17" i="3" l="1"/>
  <c r="F18" i="1"/>
</calcChain>
</file>

<file path=xl/sharedStrings.xml><?xml version="1.0" encoding="utf-8"?>
<sst xmlns="http://schemas.openxmlformats.org/spreadsheetml/2006/main" count="396" uniqueCount="169">
  <si>
    <t>MS UMa / GSC 3453-1714</t>
  </si>
  <si>
    <t>EW</t>
  </si>
  <si>
    <t>GRAV</t>
  </si>
  <si>
    <t>not avail.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</si>
  <si>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</si>
  <si>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</si>
  <si>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</si>
  <si>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</si>
  <si>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</si>
  <si>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</si>
  <si>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</si>
  <si>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</si>
  <si>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</si>
  <si>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</si>
  <si>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</si>
  <si>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</si>
  <si>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</si>
  <si>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</si>
  <si>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</si>
  <si>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</si>
  <si>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</si>
  <si>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</si>
  <si>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</si>
  <si>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</si>
  <si>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</si>
  <si>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</si>
  <si>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</si>
  <si>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</si>
  <si>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</si>
  <si>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</si>
  <si>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</si>
  <si>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</si>
  <si>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</si>
  <si>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</si>
  <si>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</si>
  <si>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</si>
  <si>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</si>
  <si>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</si>
  <si>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</si>
  <si>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</si>
  <si>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</si>
  <si>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</si>
  <si>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</si>
  <si>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</si>
  <si>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5894</t>
  </si>
  <si>
    <t>I</t>
  </si>
  <si>
    <t>IBVS 5959</t>
  </si>
  <si>
    <t>II</t>
  </si>
  <si>
    <t>IBVS 5918</t>
  </si>
  <si>
    <t>IBVS 5945</t>
  </si>
  <si>
    <t>IBVS 5992</t>
  </si>
  <si>
    <t>IBVS 6010</t>
  </si>
  <si>
    <t>OEJV 0160</t>
  </si>
  <si>
    <t>IBVS 6050</t>
  </si>
  <si>
    <t>IBVS 6029</t>
  </si>
  <si>
    <t>IBVS 6033</t>
  </si>
  <si>
    <t>IBVS 6084</t>
  </si>
  <si>
    <t>IBVS 6048</t>
  </si>
  <si>
    <t>IBVS 6118</t>
  </si>
  <si>
    <t>OEJV 0179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</si>
  <si>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</si>
  <si>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</si>
  <si>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</si>
  <si>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</si>
  <si>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</si>
  <si>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</si>
  <si>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</si>
  <si>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</si>
  <si>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</si>
  <si>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2454865.9317 </t>
  </si>
  <si>
    <t> 03.02.2009 10:21 </t>
  </si>
  <si>
    <t> 0.0318 </t>
  </si>
  <si>
    <t>C </t>
  </si>
  <si>
    <t> R.Diethelm </t>
  </si>
  <si>
    <t>IBVS 5894 </t>
  </si>
  <si>
    <t>2454922.3604 </t>
  </si>
  <si>
    <t> 31.03.2009 20:38 </t>
  </si>
  <si>
    <t> 0.0327 </t>
  </si>
  <si>
    <t>-U;-I</t>
  </si>
  <si>
    <t> K.&amp; M.Rätz </t>
  </si>
  <si>
    <t>BAVM 214 </t>
  </si>
  <si>
    <t>2454932.4150 </t>
  </si>
  <si>
    <t> 10.04.2009 21:57 </t>
  </si>
  <si>
    <t>8208</t>
  </si>
  <si>
    <t> 0.0329 </t>
  </si>
  <si>
    <t>-I</t>
  </si>
  <si>
    <t> F.Agerer </t>
  </si>
  <si>
    <t>BAVM 209 </t>
  </si>
  <si>
    <t>2454932.6207 </t>
  </si>
  <si>
    <t> 11.04.2009 02:53 </t>
  </si>
  <si>
    <t>8208.5</t>
  </si>
  <si>
    <t> 0.0334 </t>
  </si>
  <si>
    <t>2455243.6924 </t>
  </si>
  <si>
    <t> 16.02.2010 04:37 </t>
  </si>
  <si>
    <t>8966.5</t>
  </si>
  <si>
    <t> 0.0341 </t>
  </si>
  <si>
    <t>IBVS 5945 </t>
  </si>
  <si>
    <t>2455605.8587 </t>
  </si>
  <si>
    <t> 13.02.2011 08:36 </t>
  </si>
  <si>
    <t>9849</t>
  </si>
  <si>
    <t> 0.0365 </t>
  </si>
  <si>
    <t>IBVS 5992 </t>
  </si>
  <si>
    <t>2455650.3854 </t>
  </si>
  <si>
    <t> 29.03.2011 21:14 </t>
  </si>
  <si>
    <t>9957.5</t>
  </si>
  <si>
    <t>BAVM 220 </t>
  </si>
  <si>
    <t>2455654.48823 </t>
  </si>
  <si>
    <t> 02.04.2011 23:43 </t>
  </si>
  <si>
    <t>9967.5</t>
  </si>
  <si>
    <t> 0.03551 </t>
  </si>
  <si>
    <t> M.Zibar </t>
  </si>
  <si>
    <t>OEJV 0160 </t>
  </si>
  <si>
    <t>2455674.8050 </t>
  </si>
  <si>
    <t> 23.04.2011 07:19 </t>
  </si>
  <si>
    <t>10017</t>
  </si>
  <si>
    <t> 0.0383 </t>
  </si>
  <si>
    <t>2455971.9181 </t>
  </si>
  <si>
    <t> 14.02.2012 10:02 </t>
  </si>
  <si>
    <t>10741</t>
  </si>
  <si>
    <t>IBVS 6029 </t>
  </si>
  <si>
    <t>2456008.4486 </t>
  </si>
  <si>
    <t> 21.03.2012 22:45 </t>
  </si>
  <si>
    <t>10830</t>
  </si>
  <si>
    <t> 0.0397 </t>
  </si>
  <si>
    <t> K. &amp; M.Rätz </t>
  </si>
  <si>
    <t>BAVM 232 </t>
  </si>
  <si>
    <t>2456008.6523 </t>
  </si>
  <si>
    <t> 22.03.2012 03:39 </t>
  </si>
  <si>
    <t>10830.5</t>
  </si>
  <si>
    <t> 0.0382 </t>
  </si>
  <si>
    <t>2456009.4749 </t>
  </si>
  <si>
    <t> 22.03.2012 23:23 </t>
  </si>
  <si>
    <t>10832.5</t>
  </si>
  <si>
    <t> 0.0400 </t>
  </si>
  <si>
    <t>BAVM 228 </t>
  </si>
  <si>
    <t>2456034.7099 </t>
  </si>
  <si>
    <t> 17.04.2012 05:02 </t>
  </si>
  <si>
    <t>10894</t>
  </si>
  <si>
    <t> 0.0364 </t>
  </si>
  <si>
    <t>2456408.375 </t>
  </si>
  <si>
    <t> 25.04.2013 21:00 </t>
  </si>
  <si>
    <t>11804.5</t>
  </si>
  <si>
    <t> 0.047 </t>
  </si>
  <si>
    <t> M.&amp; K.Rätz </t>
  </si>
  <si>
    <t>BAVM 234 </t>
  </si>
  <si>
    <t>2456408.5763 </t>
  </si>
  <si>
    <t> 26.04.2013 01:49 </t>
  </si>
  <si>
    <t>11805</t>
  </si>
  <si>
    <t> 0.0430 </t>
  </si>
  <si>
    <t>2455938.885 </t>
  </si>
  <si>
    <t> 12.01.2012 09:14 </t>
  </si>
  <si>
    <t>10660.5</t>
  </si>
  <si>
    <t> 0.036 </t>
  </si>
  <si>
    <t> R.Nelson </t>
  </si>
  <si>
    <t>IBVS 6050 </t>
  </si>
  <si>
    <t>2455983.4140 </t>
  </si>
  <si>
    <t> 25.02.2012 21:56 </t>
  </si>
  <si>
    <t>10769</t>
  </si>
  <si>
    <t> 0.0385 </t>
  </si>
  <si>
    <t> P.Aceti </t>
  </si>
  <si>
    <t>IBVS 6033 </t>
  </si>
  <si>
    <t>VSB, 108</t>
  </si>
  <si>
    <t>OEJV 250</t>
  </si>
  <si>
    <t>Next ToM-P</t>
  </si>
  <si>
    <t>Next ToM-S</t>
  </si>
  <si>
    <t>Mag</t>
  </si>
  <si>
    <t>11.85-12.35</t>
  </si>
  <si>
    <t>VSX</t>
  </si>
  <si>
    <t>Grav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</si>
</sst>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3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7" applyFont="1"/>
    <xf numFmtId="0" fontId="2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" fillId="3" borderId="12" xfId="0" applyFont="1" applyFill="1" applyBorder="1" applyAlignment="1">
      <alignment horizontal="left" vertical="top" wrapText="1" indent="1"/>
    </xf>
    <xf numFmtId="0" fontId="2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right" vertical="top" wrapText="1"/>
    </xf>
    <xf numFmtId="0" fontId="13" fillId="3" borderId="12" xfId="5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4" borderId="13" xfId="0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16" fillId="0" borderId="15" xfId="0" applyFont="1" applyBorder="1" applyAlignment="1">
      <alignment horizontal="right" vertical="top"/>
    </xf>
    <xf numFmtId="0" fontId="5" fillId="0" borderId="16" xfId="0" applyFont="1" applyBorder="1">
      <alignment vertical="top"/>
    </xf>
    <xf numFmtId="0" fontId="4" fillId="0" borderId="16" xfId="0" applyFont="1" applyBorder="1">
      <alignment vertical="top"/>
    </xf>
    <xf numFmtId="0" fontId="4" fillId="0" borderId="16" xfId="0" applyFont="1" applyBorder="1" applyAlignment="1"/>
    <xf numFmtId="22" fontId="17" fillId="0" borderId="16" xfId="0" applyNumberFormat="1" applyFont="1" applyBorder="1">
      <alignment vertical="top"/>
    </xf>
    <xf numFmtId="22" fontId="17" fillId="0" borderId="17" xfId="0" applyNumberFormat="1" applyFont="1" applyBorder="1" applyAlignment="1"/>
    <xf numFmtId="0" fontId="16" fillId="0" borderId="18" xfId="0" applyFont="1" applyBorder="1" applyAlignment="1">
      <alignment horizontal="right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7" applyFont="1" applyAlignment="1">
      <alignment horizontal="left" vertical="center"/>
    </xf>
    <xf numFmtId="0" fontId="11" fillId="0" borderId="0" xfId="7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UMa -- O-C Diagr.</a:t>
            </a:r>
          </a:p>
        </c:rich>
      </c:tx>
      <c:layout>
        <c:manualLayout>
          <c:xMode val="edge"/>
          <c:yMode val="edge"/>
          <c:x val="0.369924812030075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3709273182956"/>
          <c:y val="0.15215278270396379"/>
          <c:w val="0.81704260651629068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1'!$H$21:$H$430</c:f>
              <c:numCache>
                <c:formatCode>General</c:formatCode>
                <c:ptCount val="4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B-4F2B-BC09-5EB070572DE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1'!$I$21:$I$430</c:f>
              <c:numCache>
                <c:formatCode>General</c:formatCode>
                <c:ptCount val="410"/>
                <c:pt idx="22">
                  <c:v>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B-4F2B-BC09-5EB070572DE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1'!$J$21:$J$430</c:f>
              <c:numCache>
                <c:formatCode>General</c:formatCode>
                <c:ptCount val="410"/>
                <c:pt idx="2">
                  <c:v>3.2736000001023058E-2</c:v>
                </c:pt>
                <c:pt idx="3">
                  <c:v>3.2928000000538304E-2</c:v>
                </c:pt>
                <c:pt idx="4">
                  <c:v>3.3435999997891486E-2</c:v>
                </c:pt>
                <c:pt idx="7">
                  <c:v>3.6520000001473818E-2</c:v>
                </c:pt>
                <c:pt idx="13">
                  <c:v>3.9680000001681037E-2</c:v>
                </c:pt>
                <c:pt idx="14">
                  <c:v>3.8188000005902722E-2</c:v>
                </c:pt>
                <c:pt idx="15">
                  <c:v>4.0020000000367872E-2</c:v>
                </c:pt>
                <c:pt idx="17">
                  <c:v>4.6871999998984393E-2</c:v>
                </c:pt>
                <c:pt idx="18">
                  <c:v>4.2979999998351559E-2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B-4F2B-BC09-5EB070572DE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1'!$K$21:$K$430</c:f>
              <c:numCache>
                <c:formatCode>General</c:formatCode>
                <c:ptCount val="410"/>
                <c:pt idx="1">
                  <c:v>3.1836000001931097E-2</c:v>
                </c:pt>
                <c:pt idx="5">
                  <c:v>3.406399999948917E-2</c:v>
                </c:pt>
                <c:pt idx="6">
                  <c:v>3.6483999996562488E-2</c:v>
                </c:pt>
                <c:pt idx="8">
                  <c:v>3.5510000001522712E-2</c:v>
                </c:pt>
                <c:pt idx="9">
                  <c:v>3.8271999997959938E-2</c:v>
                </c:pt>
                <c:pt idx="10">
                  <c:v>3.6367999993672129E-2</c:v>
                </c:pt>
                <c:pt idx="11">
                  <c:v>3.3355999999912456E-2</c:v>
                </c:pt>
                <c:pt idx="12">
                  <c:v>3.85039999964647E-2</c:v>
                </c:pt>
                <c:pt idx="16">
                  <c:v>3.6403999998583458E-2</c:v>
                </c:pt>
                <c:pt idx="19">
                  <c:v>4.9844000001030508E-2</c:v>
                </c:pt>
                <c:pt idx="20">
                  <c:v>5.5086000000301283E-2</c:v>
                </c:pt>
                <c:pt idx="21">
                  <c:v>5.6219999998575076E-2</c:v>
                </c:pt>
                <c:pt idx="23">
                  <c:v>5.7569999902625568E-2</c:v>
                </c:pt>
                <c:pt idx="24">
                  <c:v>8.3471999932953622E-2</c:v>
                </c:pt>
                <c:pt idx="25">
                  <c:v>8.3771999888995197E-2</c:v>
                </c:pt>
                <c:pt idx="26">
                  <c:v>8.0811999934667256E-2</c:v>
                </c:pt>
                <c:pt idx="27">
                  <c:v>8.0912000230455305E-2</c:v>
                </c:pt>
                <c:pt idx="28">
                  <c:v>8.5513999998511281E-2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B-4F2B-BC09-5EB070572DE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1'!$L$21:$L$430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1B-4F2B-BC09-5EB070572D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1'!$M$21:$M$430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1B-4F2B-BC09-5EB070572D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1'!$N$21:$N$430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1B-4F2B-BC09-5EB070572D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1'!$O$21:$O$430</c:f>
              <c:numCache>
                <c:formatCode>General</c:formatCode>
                <c:ptCount val="410"/>
                <c:pt idx="0">
                  <c:v>-5.9452167394399152E-3</c:v>
                </c:pt>
                <c:pt idx="1">
                  <c:v>2.8364436453545618E-2</c:v>
                </c:pt>
                <c:pt idx="2">
                  <c:v>2.8950762244502062E-2</c:v>
                </c:pt>
                <c:pt idx="3">
                  <c:v>2.905523483998157E-2</c:v>
                </c:pt>
                <c:pt idx="4">
                  <c:v>2.9057366933766864E-2</c:v>
                </c:pt>
                <c:pt idx="5">
                  <c:v>3.2289621112275818E-2</c:v>
                </c:pt>
                <c:pt idx="6">
                  <c:v>3.6052766643323512E-2</c:v>
                </c:pt>
                <c:pt idx="7">
                  <c:v>3.6515430994732777E-2</c:v>
                </c:pt>
                <c:pt idx="8">
                  <c:v>3.6558072870438697E-2</c:v>
                </c:pt>
                <c:pt idx="9">
                  <c:v>3.676915015518302E-2</c:v>
                </c:pt>
                <c:pt idx="10">
                  <c:v>3.9513154856859155E-2</c:v>
                </c:pt>
                <c:pt idx="11">
                  <c:v>3.9856421956291833E-2</c:v>
                </c:pt>
                <c:pt idx="12">
                  <c:v>3.9975819208268419E-2</c:v>
                </c:pt>
                <c:pt idx="13">
                  <c:v>4.0235934650074544E-2</c:v>
                </c:pt>
                <c:pt idx="14">
                  <c:v>4.0238066743859845E-2</c:v>
                </c:pt>
                <c:pt idx="15">
                  <c:v>4.0246595119001027E-2</c:v>
                </c:pt>
                <c:pt idx="16">
                  <c:v>4.0508842654592453E-2</c:v>
                </c:pt>
                <c:pt idx="17">
                  <c:v>4.4391385437616726E-2</c:v>
                </c:pt>
                <c:pt idx="18">
                  <c:v>4.4393517531402027E-2</c:v>
                </c:pt>
                <c:pt idx="19">
                  <c:v>5.184092112344145E-2</c:v>
                </c:pt>
                <c:pt idx="20">
                  <c:v>5.4845041266923716E-2</c:v>
                </c:pt>
                <c:pt idx="21">
                  <c:v>5.8369392294018246E-2</c:v>
                </c:pt>
                <c:pt idx="22">
                  <c:v>5.9520722938078155E-2</c:v>
                </c:pt>
                <c:pt idx="23">
                  <c:v>5.9520722938078155E-2</c:v>
                </c:pt>
                <c:pt idx="24">
                  <c:v>8.0903491510813177E-2</c:v>
                </c:pt>
                <c:pt idx="25">
                  <c:v>8.0903491510813177E-2</c:v>
                </c:pt>
                <c:pt idx="26">
                  <c:v>8.0914151979739654E-2</c:v>
                </c:pt>
                <c:pt idx="27">
                  <c:v>8.0914151979739654E-2</c:v>
                </c:pt>
                <c:pt idx="28">
                  <c:v>8.209533193679372E-2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1B-4F2B-BC09-5EB070572DE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1'!$F$21:$F$430</c:f>
              <c:numCache>
                <c:formatCode>General</c:formatCode>
                <c:ptCount val="410"/>
                <c:pt idx="0">
                  <c:v>0</c:v>
                </c:pt>
                <c:pt idx="1">
                  <c:v>8046</c:v>
                </c:pt>
                <c:pt idx="2">
                  <c:v>8183.5</c:v>
                </c:pt>
                <c:pt idx="3">
                  <c:v>8208</c:v>
                </c:pt>
                <c:pt idx="4">
                  <c:v>8208.5</c:v>
                </c:pt>
                <c:pt idx="5">
                  <c:v>8966.5</c:v>
                </c:pt>
                <c:pt idx="6">
                  <c:v>9849</c:v>
                </c:pt>
                <c:pt idx="7">
                  <c:v>9957.5</c:v>
                </c:pt>
                <c:pt idx="8">
                  <c:v>9967.5</c:v>
                </c:pt>
                <c:pt idx="9">
                  <c:v>10017</c:v>
                </c:pt>
                <c:pt idx="10">
                  <c:v>10660.5</c:v>
                </c:pt>
                <c:pt idx="11">
                  <c:v>10741</c:v>
                </c:pt>
                <c:pt idx="12">
                  <c:v>10769</c:v>
                </c:pt>
                <c:pt idx="13">
                  <c:v>10830</c:v>
                </c:pt>
                <c:pt idx="14">
                  <c:v>10830.5</c:v>
                </c:pt>
                <c:pt idx="15">
                  <c:v>10832.5</c:v>
                </c:pt>
                <c:pt idx="16">
                  <c:v>10894</c:v>
                </c:pt>
                <c:pt idx="17">
                  <c:v>11804.5</c:v>
                </c:pt>
                <c:pt idx="18">
                  <c:v>11805</c:v>
                </c:pt>
                <c:pt idx="19">
                  <c:v>13551.5</c:v>
                </c:pt>
                <c:pt idx="20">
                  <c:v>14256</c:v>
                </c:pt>
                <c:pt idx="21">
                  <c:v>15082.5</c:v>
                </c:pt>
                <c:pt idx="22">
                  <c:v>15352.5</c:v>
                </c:pt>
                <c:pt idx="23">
                  <c:v>15352.5</c:v>
                </c:pt>
                <c:pt idx="24">
                  <c:v>20367</c:v>
                </c:pt>
                <c:pt idx="25">
                  <c:v>20367</c:v>
                </c:pt>
                <c:pt idx="26">
                  <c:v>20369.5</c:v>
                </c:pt>
                <c:pt idx="27">
                  <c:v>20369.5</c:v>
                </c:pt>
                <c:pt idx="28">
                  <c:v>20646.5</c:v>
                </c:pt>
              </c:numCache>
            </c:numRef>
          </c:xVal>
          <c:yVal>
            <c:numRef>
              <c:f>'Active 1'!$U$21:$U$430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1B-4F2B-BC09-5EB07057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901400"/>
        <c:axId val="1"/>
      </c:scatterChart>
      <c:valAx>
        <c:axId val="77290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01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94736842105263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UMa -- O-C Diagr.</a:t>
            </a:r>
          </a:p>
        </c:rich>
      </c:tx>
      <c:layout>
        <c:manualLayout>
          <c:xMode val="edge"/>
          <c:yMode val="edge"/>
          <c:x val="0.3699248120300752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3709273182956"/>
          <c:y val="0.15215278270396379"/>
          <c:w val="0.81704260651629068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2'!$H$21:$H$430</c:f>
              <c:numCache>
                <c:formatCode>General</c:formatCode>
                <c:ptCount val="410"/>
                <c:pt idx="0">
                  <c:v>1.6716749996703584E-2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6-4849-84D8-87CC49AC1EA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2'!$I$21:$I$430</c:f>
              <c:numCache>
                <c:formatCode>General</c:formatCode>
                <c:ptCount val="410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D6-4849-84D8-87CC49AC1EA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2'!$J$21:$J$430</c:f>
              <c:numCache>
                <c:formatCode>General</c:formatCode>
                <c:ptCount val="410"/>
                <c:pt idx="2">
                  <c:v>1.0990299997502007E-2</c:v>
                </c:pt>
                <c:pt idx="3">
                  <c:v>1.1067150000599213E-2</c:v>
                </c:pt>
                <c:pt idx="4">
                  <c:v>1.1572800001886208E-2</c:v>
                </c:pt>
                <c:pt idx="7">
                  <c:v>6.4364999998360872E-3</c:v>
                </c:pt>
                <c:pt idx="13">
                  <c:v>5.4957500033196993E-3</c:v>
                </c:pt>
                <c:pt idx="14">
                  <c:v>4.0014000041992404E-3</c:v>
                </c:pt>
                <c:pt idx="15">
                  <c:v>5.8239999998477288E-3</c:v>
                </c:pt>
                <c:pt idx="17">
                  <c:v>8.1075999987660907E-3</c:v>
                </c:pt>
                <c:pt idx="18">
                  <c:v>4.2132500020670705E-3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D6-4849-84D8-87CC49AC1EA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2'!$K$21:$K$430</c:f>
              <c:numCache>
                <c:formatCode>General</c:formatCode>
                <c:ptCount val="410"/>
                <c:pt idx="1">
                  <c:v>1.0736550000729039E-2</c:v>
                </c:pt>
                <c:pt idx="5">
                  <c:v>8.638200000859797E-3</c:v>
                </c:pt>
                <c:pt idx="6">
                  <c:v>6.9104499998502433E-3</c:v>
                </c:pt>
                <c:pt idx="8">
                  <c:v>5.379500005801674E-3</c:v>
                </c:pt>
                <c:pt idx="9">
                  <c:v>7.9088499987847172E-3</c:v>
                </c:pt>
                <c:pt idx="10">
                  <c:v>2.9804000005242415E-3</c:v>
                </c:pt>
                <c:pt idx="11">
                  <c:v>-4.0995000017574057E-4</c:v>
                </c:pt>
                <c:pt idx="12">
                  <c:v>4.6064499983913265E-3</c:v>
                </c:pt>
                <c:pt idx="16">
                  <c:v>1.9189500017091632E-3</c:v>
                </c:pt>
                <c:pt idx="19">
                  <c:v>2.8687000012723729E-3</c:v>
                </c:pt>
                <c:pt idx="20">
                  <c:v>4.7995499990065582E-3</c:v>
                </c:pt>
                <c:pt idx="21">
                  <c:v>2.0489999951678328E-3</c:v>
                </c:pt>
                <c:pt idx="23">
                  <c:v>2.1299998988979496E-3</c:v>
                </c:pt>
                <c:pt idx="24">
                  <c:v>4.4638499384745955E-3</c:v>
                </c:pt>
                <c:pt idx="25">
                  <c:v>4.76384989451617E-3</c:v>
                </c:pt>
                <c:pt idx="26">
                  <c:v>1.7920999380294234E-3</c:v>
                </c:pt>
                <c:pt idx="27">
                  <c:v>1.8921002338174731E-3</c:v>
                </c:pt>
                <c:pt idx="28">
                  <c:v>5.1921999984188005E-3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D6-4849-84D8-87CC49AC1EAE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2'!$L$21:$L$430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6-4849-84D8-87CC49AC1EA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2'!$M$21:$M$430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6-4849-84D8-87CC49AC1EA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2'!$N$21:$N$430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6-4849-84D8-87CC49AC1EA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2'!$O$21:$O$430</c:f>
              <c:numCache>
                <c:formatCode>General</c:formatCode>
                <c:ptCount val="410"/>
                <c:pt idx="0">
                  <c:v>1.0771533259969893E-2</c:v>
                </c:pt>
                <c:pt idx="1">
                  <c:v>7.2649864539596791E-3</c:v>
                </c:pt>
                <c:pt idx="2">
                  <c:v>7.2050622449332802E-3</c:v>
                </c:pt>
                <c:pt idx="3">
                  <c:v>7.1943848404158496E-3</c:v>
                </c:pt>
                <c:pt idx="4">
                  <c:v>7.1941669342012078E-3</c:v>
                </c:pt>
                <c:pt idx="5">
                  <c:v>6.8638211128047699E-3</c:v>
                </c:pt>
                <c:pt idx="6">
                  <c:v>6.4792166439626101E-3</c:v>
                </c:pt>
                <c:pt idx="7">
                  <c:v>6.4319309953854154E-3</c:v>
                </c:pt>
                <c:pt idx="8">
                  <c:v>6.4275728710925864E-3</c:v>
                </c:pt>
                <c:pt idx="9">
                  <c:v>6.4060001558430835E-3</c:v>
                </c:pt>
                <c:pt idx="10">
                  <c:v>6.1255548575995375E-3</c:v>
                </c:pt>
                <c:pt idx="11">
                  <c:v>6.0904719570422632E-3</c:v>
                </c:pt>
                <c:pt idx="12">
                  <c:v>6.0782692090223427E-3</c:v>
                </c:pt>
                <c:pt idx="13">
                  <c:v>6.0516846508360863E-3</c:v>
                </c:pt>
                <c:pt idx="14">
                  <c:v>6.0514667446214445E-3</c:v>
                </c:pt>
                <c:pt idx="15">
                  <c:v>6.0505951197628791E-3</c:v>
                </c:pt>
                <c:pt idx="16">
                  <c:v>6.02379265536198E-3</c:v>
                </c:pt>
                <c:pt idx="17">
                  <c:v>5.6269854384998997E-3</c:v>
                </c:pt>
                <c:pt idx="18">
                  <c:v>5.6267675322852588E-3</c:v>
                </c:pt>
                <c:pt idx="19">
                  <c:v>4.8656211245426736E-3</c:v>
                </c:pt>
                <c:pt idx="20">
                  <c:v>4.5585912681128703E-3</c:v>
                </c:pt>
                <c:pt idx="21">
                  <c:v>4.1983922953105542E-3</c:v>
                </c:pt>
                <c:pt idx="22">
                  <c:v>4.0807229394041709E-3</c:v>
                </c:pt>
                <c:pt idx="23">
                  <c:v>4.0807229394041709E-3</c:v>
                </c:pt>
                <c:pt idx="24">
                  <c:v>1.8953415127650692E-3</c:v>
                </c:pt>
                <c:pt idx="25">
                  <c:v>1.8953415127650692E-3</c:v>
                </c:pt>
                <c:pt idx="26">
                  <c:v>1.8942519816918619E-3</c:v>
                </c:pt>
                <c:pt idx="27">
                  <c:v>1.8942519816918619E-3</c:v>
                </c:pt>
                <c:pt idx="28">
                  <c:v>1.7735319387804987E-3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6-4849-84D8-87CC49AC1EAE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2'!$F$21:$F$430</c:f>
              <c:numCache>
                <c:formatCode>General</c:formatCode>
                <c:ptCount val="410"/>
                <c:pt idx="0">
                  <c:v>-15352.5</c:v>
                </c:pt>
                <c:pt idx="1">
                  <c:v>-7306.5</c:v>
                </c:pt>
                <c:pt idx="2">
                  <c:v>-7169</c:v>
                </c:pt>
                <c:pt idx="3">
                  <c:v>-7144.5</c:v>
                </c:pt>
                <c:pt idx="4">
                  <c:v>-7144</c:v>
                </c:pt>
                <c:pt idx="5">
                  <c:v>-6386</c:v>
                </c:pt>
                <c:pt idx="6">
                  <c:v>-5503.5</c:v>
                </c:pt>
                <c:pt idx="7">
                  <c:v>-5395</c:v>
                </c:pt>
                <c:pt idx="8">
                  <c:v>-5385</c:v>
                </c:pt>
                <c:pt idx="9">
                  <c:v>-5335.5</c:v>
                </c:pt>
                <c:pt idx="10">
                  <c:v>-4692</c:v>
                </c:pt>
                <c:pt idx="11">
                  <c:v>-4611.5</c:v>
                </c:pt>
                <c:pt idx="12">
                  <c:v>-4583.5</c:v>
                </c:pt>
                <c:pt idx="13">
                  <c:v>-4522.5</c:v>
                </c:pt>
                <c:pt idx="14">
                  <c:v>-4522</c:v>
                </c:pt>
                <c:pt idx="15">
                  <c:v>-4520</c:v>
                </c:pt>
                <c:pt idx="16">
                  <c:v>-4458.5</c:v>
                </c:pt>
                <c:pt idx="17">
                  <c:v>-3548</c:v>
                </c:pt>
                <c:pt idx="18">
                  <c:v>-3547.5</c:v>
                </c:pt>
                <c:pt idx="19">
                  <c:v>-1801</c:v>
                </c:pt>
                <c:pt idx="20">
                  <c:v>-1096.5</c:v>
                </c:pt>
                <c:pt idx="21">
                  <c:v>-270</c:v>
                </c:pt>
                <c:pt idx="22">
                  <c:v>0</c:v>
                </c:pt>
                <c:pt idx="23">
                  <c:v>0</c:v>
                </c:pt>
                <c:pt idx="24">
                  <c:v>5014.5</c:v>
                </c:pt>
                <c:pt idx="25">
                  <c:v>5014.5</c:v>
                </c:pt>
                <c:pt idx="26">
                  <c:v>5017</c:v>
                </c:pt>
                <c:pt idx="27">
                  <c:v>5017</c:v>
                </c:pt>
                <c:pt idx="28">
                  <c:v>5294</c:v>
                </c:pt>
              </c:numCache>
            </c:numRef>
          </c:xVal>
          <c:yVal>
            <c:numRef>
              <c:f>'Active 2'!$U$21:$U$430</c:f>
              <c:numCache>
                <c:formatCode>General</c:formatCode>
                <c:ptCount val="4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D6-4849-84D8-87CC49AC1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901400"/>
        <c:axId val="1"/>
      </c:scatterChart>
      <c:valAx>
        <c:axId val="77290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901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94736842105263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3AB853-B4F4-A07A-A11B-FD6ACEE52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DD7258-C08A-4674-9663-052197CB5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konkoly.hu/cgi-bin/IBVS?6033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www.bav-astro.de/sfs/BAVM_link.php?BAVMnr=232" TargetMode="External"/><Relationship Id="rId1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bav-astro.de/sfs/BAVM_link.php?BAVMnr=214" TargetMode="External"/><Relationship Id="rId16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5945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E52" sqref="E5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2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51563.950199999999</v>
      </c>
      <c r="L1" s="7">
        <v>0.41038400000000003</v>
      </c>
    </row>
    <row r="2" spans="1:12" x14ac:dyDescent="0.2">
      <c r="A2" s="1" t="s">
        <v>4</v>
      </c>
      <c r="B2" s="1" t="s">
        <v>1</v>
      </c>
      <c r="C2" s="8"/>
    </row>
    <row r="4" spans="1:12" x14ac:dyDescent="0.2">
      <c r="A4" s="9" t="s">
        <v>5</v>
      </c>
      <c r="C4" s="10" t="s">
        <v>3</v>
      </c>
      <c r="D4" s="11" t="s">
        <v>3</v>
      </c>
      <c r="F4" s="12" t="str">
        <f>"F"&amp;B9</f>
        <v>F22</v>
      </c>
      <c r="G4" s="13" t="str">
        <f>"G"&amp;B9</f>
        <v>G22</v>
      </c>
    </row>
    <row r="5" spans="1:12" x14ac:dyDescent="0.2">
      <c r="A5" s="14" t="s">
        <v>6</v>
      </c>
      <c r="B5"/>
      <c r="C5" s="15">
        <v>-9.5</v>
      </c>
      <c r="D5" t="s">
        <v>7</v>
      </c>
    </row>
    <row r="6" spans="1:12" x14ac:dyDescent="0.2">
      <c r="A6" s="16" t="s">
        <v>8</v>
      </c>
      <c r="E6" s="80" t="s">
        <v>2</v>
      </c>
      <c r="F6" s="80" t="s">
        <v>167</v>
      </c>
    </row>
    <row r="7" spans="1:12" x14ac:dyDescent="0.2">
      <c r="A7" s="1" t="s">
        <v>9</v>
      </c>
      <c r="C7" s="1">
        <v>51563.950199999999</v>
      </c>
      <c r="D7" s="1" t="s">
        <v>2</v>
      </c>
      <c r="E7" s="81">
        <v>51563.950199999999</v>
      </c>
      <c r="F7" s="81">
        <v>57864.425999999999</v>
      </c>
    </row>
    <row r="8" spans="1:12" x14ac:dyDescent="0.2">
      <c r="A8" s="1" t="s">
        <v>10</v>
      </c>
      <c r="C8" s="1">
        <v>0.41038400000000003</v>
      </c>
      <c r="D8" s="17" t="s">
        <v>168</v>
      </c>
      <c r="E8" s="82">
        <v>0.41038400000000003</v>
      </c>
      <c r="F8" s="82">
        <v>0.4103887</v>
      </c>
    </row>
    <row r="9" spans="1:12" x14ac:dyDescent="0.2">
      <c r="A9" s="18" t="s">
        <v>11</v>
      </c>
      <c r="B9" s="19">
        <v>22</v>
      </c>
      <c r="C9" s="12" t="str">
        <f>"F"&amp;B9</f>
        <v>F22</v>
      </c>
      <c r="D9" s="13" t="str">
        <f>"G"&amp;B9</f>
        <v>G22</v>
      </c>
    </row>
    <row r="10" spans="1:12" x14ac:dyDescent="0.2">
      <c r="A10"/>
      <c r="B10"/>
      <c r="C10" s="20" t="s">
        <v>12</v>
      </c>
      <c r="D10" s="20" t="s">
        <v>13</v>
      </c>
      <c r="E10"/>
    </row>
    <row r="11" spans="1:12" x14ac:dyDescent="0.2">
      <c r="A11" t="s">
        <v>14</v>
      </c>
      <c r="B11"/>
      <c r="C11" s="21">
        <f ca="1">INTERCEPT(INDIRECT($D$9):G990,INDIRECT($C$9):F990)</f>
        <v>-5.9452167394399152E-3</v>
      </c>
      <c r="D11" s="22"/>
      <c r="E11"/>
    </row>
    <row r="12" spans="1:12" x14ac:dyDescent="0.2">
      <c r="A12" t="s">
        <v>15</v>
      </c>
      <c r="B12"/>
      <c r="C12" s="21">
        <f ca="1">SLOPE(INDIRECT($D$9):G990,INDIRECT($C$9):F990)</f>
        <v>4.2641875705922863E-6</v>
      </c>
      <c r="D12" s="22"/>
      <c r="E12" s="67" t="s">
        <v>165</v>
      </c>
      <c r="F12" s="68" t="s">
        <v>166</v>
      </c>
    </row>
    <row r="13" spans="1:12" x14ac:dyDescent="0.2">
      <c r="A13" t="s">
        <v>16</v>
      </c>
      <c r="B13"/>
      <c r="C13" s="22" t="s">
        <v>17</v>
      </c>
      <c r="E13" s="69" t="s">
        <v>19</v>
      </c>
      <c r="F13" s="70">
        <v>1</v>
      </c>
    </row>
    <row r="14" spans="1:12" x14ac:dyDescent="0.2">
      <c r="A14"/>
      <c r="B14"/>
      <c r="C14"/>
      <c r="E14" s="69" t="s">
        <v>21</v>
      </c>
      <c r="F14" s="71">
        <f ca="1">NOW()+15018.5+$C$5/24</f>
        <v>60519.76678125</v>
      </c>
    </row>
    <row r="15" spans="1:12" x14ac:dyDescent="0.2">
      <c r="A15" s="23" t="s">
        <v>18</v>
      </c>
      <c r="B15"/>
      <c r="C15" s="24">
        <f ca="1">(C7+C11)+(C8+C12)*INT(MAX(F21:F3531))</f>
        <v>60036.820357199846</v>
      </c>
      <c r="E15" s="69" t="s">
        <v>23</v>
      </c>
      <c r="F15" s="71">
        <f ca="1">ROUND(2*(F14-$C$7)/$C$8,0)/2+F13</f>
        <v>21824</v>
      </c>
    </row>
    <row r="16" spans="1:12" x14ac:dyDescent="0.2">
      <c r="A16" s="23" t="s">
        <v>20</v>
      </c>
      <c r="B16"/>
      <c r="C16" s="24">
        <f ca="1">+C8+C12</f>
        <v>0.41038826418757063</v>
      </c>
      <c r="E16" s="69" t="s">
        <v>25</v>
      </c>
      <c r="F16" s="72">
        <f ca="1">ROUND(2*(F14-$C$15)/$C$16,0)/2+F13</f>
        <v>1178</v>
      </c>
    </row>
    <row r="17" spans="1:21" x14ac:dyDescent="0.2">
      <c r="A17" s="18" t="s">
        <v>22</v>
      </c>
      <c r="B17"/>
      <c r="C17">
        <f>COUNT(C21:C2189)</f>
        <v>29</v>
      </c>
      <c r="E17" s="69" t="s">
        <v>163</v>
      </c>
      <c r="F17" s="73">
        <f ca="1">+$C$15+$C$16*$F$16-15018.5-$C$5/24</f>
        <v>45502.153565746143</v>
      </c>
    </row>
    <row r="18" spans="1:21" x14ac:dyDescent="0.2">
      <c r="A18" s="23" t="s">
        <v>24</v>
      </c>
      <c r="B18"/>
      <c r="C18" s="25">
        <f ca="1">+C15</f>
        <v>60036.820357199846</v>
      </c>
      <c r="D18" s="26">
        <f ca="1">+C16</f>
        <v>0.41038826418757063</v>
      </c>
      <c r="E18" s="75" t="s">
        <v>164</v>
      </c>
      <c r="F18" s="74">
        <f ca="1">+($C$15+$C$16*$F$16)-($C$16/2)-15018.5-$C$5/24</f>
        <v>45501.948371614046</v>
      </c>
    </row>
    <row r="20" spans="1:21" x14ac:dyDescent="0.2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7" t="s">
        <v>33</v>
      </c>
      <c r="I20" s="27" t="s">
        <v>167</v>
      </c>
      <c r="J20" s="27" t="s">
        <v>35</v>
      </c>
      <c r="K20" s="27" t="s">
        <v>36</v>
      </c>
      <c r="L20" s="27" t="s">
        <v>37</v>
      </c>
      <c r="M20" s="27" t="s">
        <v>38</v>
      </c>
      <c r="N20" s="27" t="s">
        <v>39</v>
      </c>
      <c r="O20" s="27" t="s">
        <v>40</v>
      </c>
      <c r="P20" s="27" t="s">
        <v>41</v>
      </c>
      <c r="Q20" s="20" t="s">
        <v>42</v>
      </c>
      <c r="U20" s="28" t="s">
        <v>43</v>
      </c>
    </row>
    <row r="21" spans="1:21" x14ac:dyDescent="0.2">
      <c r="A21" s="17" t="s">
        <v>2</v>
      </c>
      <c r="C21" s="8">
        <v>51563.950199999999</v>
      </c>
      <c r="D21" s="8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-5.9452167394399152E-3</v>
      </c>
      <c r="Q21" s="60">
        <f>+C21-15018.5</f>
        <v>36545.450199999999</v>
      </c>
    </row>
    <row r="22" spans="1:21" x14ac:dyDescent="0.2">
      <c r="A22" s="29" t="s">
        <v>44</v>
      </c>
      <c r="B22" s="30" t="s">
        <v>45</v>
      </c>
      <c r="C22" s="29">
        <v>54865.931700000001</v>
      </c>
      <c r="D22" s="29">
        <v>2.9999999999999997E-4</v>
      </c>
      <c r="E22" s="1">
        <f>+(C22-C$7)/C$8</f>
        <v>8046.0775761238292</v>
      </c>
      <c r="F22" s="1">
        <f>ROUND(2*E22,0)/2</f>
        <v>8046</v>
      </c>
      <c r="G22" s="1">
        <f>+C22-(C$7+F22*C$8)</f>
        <v>3.1836000001931097E-2</v>
      </c>
      <c r="K22" s="1">
        <f>+G22</f>
        <v>3.1836000001931097E-2</v>
      </c>
      <c r="O22" s="1">
        <f ca="1">+C$11+C$12*$F22</f>
        <v>2.8364436453545618E-2</v>
      </c>
      <c r="Q22" s="60">
        <f>+C22-15018.5</f>
        <v>39847.431700000001</v>
      </c>
    </row>
    <row r="23" spans="1:21" x14ac:dyDescent="0.2">
      <c r="A23" s="31" t="s">
        <v>46</v>
      </c>
      <c r="B23" s="32" t="s">
        <v>47</v>
      </c>
      <c r="C23" s="31">
        <v>54922.360399999998</v>
      </c>
      <c r="D23" s="31">
        <v>2.0000000000000001E-4</v>
      </c>
      <c r="E23" s="1">
        <f>+(C23-C$7)/C$8</f>
        <v>8183.5797691917769</v>
      </c>
      <c r="F23" s="1">
        <f>ROUND(2*E23,0)/2</f>
        <v>8183.5</v>
      </c>
      <c r="G23" s="1">
        <f>+C23-(C$7+F23*C$8)</f>
        <v>3.2736000001023058E-2</v>
      </c>
      <c r="J23" s="1">
        <f>+G23</f>
        <v>3.2736000001023058E-2</v>
      </c>
      <c r="O23" s="1">
        <f ca="1">+C$11+C$12*$F23</f>
        <v>2.8950762244502062E-2</v>
      </c>
      <c r="Q23" s="60">
        <f>+C23-15018.5</f>
        <v>39903.860399999998</v>
      </c>
    </row>
    <row r="24" spans="1:21" x14ac:dyDescent="0.2">
      <c r="A24" s="31" t="s">
        <v>48</v>
      </c>
      <c r="B24" s="32" t="s">
        <v>45</v>
      </c>
      <c r="C24" s="31">
        <v>54932.415000000001</v>
      </c>
      <c r="D24" s="31">
        <v>2.0000000000000001E-4</v>
      </c>
      <c r="E24" s="1">
        <f>+(C24-C$7)/C$8</f>
        <v>8208.0802370462825</v>
      </c>
      <c r="F24" s="1">
        <f>ROUND(2*E24,0)/2</f>
        <v>8208</v>
      </c>
      <c r="G24" s="1">
        <f>+C24-(C$7+F24*C$8)</f>
        <v>3.2928000000538304E-2</v>
      </c>
      <c r="J24" s="1">
        <f>+G24</f>
        <v>3.2928000000538304E-2</v>
      </c>
      <c r="O24" s="1">
        <f ca="1">+C$11+C$12*$F24</f>
        <v>2.905523483998157E-2</v>
      </c>
      <c r="Q24" s="60">
        <f>+C24-15018.5</f>
        <v>39913.915000000001</v>
      </c>
    </row>
    <row r="25" spans="1:21" x14ac:dyDescent="0.2">
      <c r="A25" s="31" t="s">
        <v>48</v>
      </c>
      <c r="B25" s="32" t="s">
        <v>47</v>
      </c>
      <c r="C25" s="31">
        <v>54932.620699999999</v>
      </c>
      <c r="D25" s="31">
        <v>1E-3</v>
      </c>
      <c r="E25" s="1">
        <f>+(C25-C$7)/C$8</f>
        <v>8208.5814749113033</v>
      </c>
      <c r="F25" s="1">
        <f>ROUND(2*E25,0)/2</f>
        <v>8208.5</v>
      </c>
      <c r="G25" s="1">
        <f>+C25-(C$7+F25*C$8)</f>
        <v>3.3435999997891486E-2</v>
      </c>
      <c r="J25" s="1">
        <f>+G25</f>
        <v>3.3435999997891486E-2</v>
      </c>
      <c r="O25" s="1">
        <f ca="1">+C$11+C$12*$F25</f>
        <v>2.9057366933766864E-2</v>
      </c>
      <c r="Q25" s="60">
        <f>+C25-15018.5</f>
        <v>39914.120699999999</v>
      </c>
    </row>
    <row r="26" spans="1:21" x14ac:dyDescent="0.2">
      <c r="A26" s="31" t="s">
        <v>49</v>
      </c>
      <c r="B26" s="32" t="s">
        <v>47</v>
      </c>
      <c r="C26" s="31">
        <v>55243.6924</v>
      </c>
      <c r="D26" s="31">
        <v>5.0000000000000001E-4</v>
      </c>
      <c r="E26" s="1">
        <f>+(C26-C$7)/C$8</f>
        <v>8966.5830051853882</v>
      </c>
      <c r="F26" s="1">
        <f>ROUND(2*E26,0)/2</f>
        <v>8966.5</v>
      </c>
      <c r="G26" s="1">
        <f>+C26-(C$7+F26*C$8)</f>
        <v>3.406399999948917E-2</v>
      </c>
      <c r="K26" s="1">
        <f>+G26</f>
        <v>3.406399999948917E-2</v>
      </c>
      <c r="O26" s="1">
        <f ca="1">+C$11+C$12*$F26</f>
        <v>3.2289621112275818E-2</v>
      </c>
      <c r="Q26" s="60">
        <f>+C26-15018.5</f>
        <v>40225.1924</v>
      </c>
    </row>
    <row r="27" spans="1:21" x14ac:dyDescent="0.2">
      <c r="A27" s="31" t="s">
        <v>50</v>
      </c>
      <c r="B27" s="32" t="s">
        <v>45</v>
      </c>
      <c r="C27" s="31">
        <v>55605.858699999997</v>
      </c>
      <c r="D27" s="31">
        <v>4.0000000000000002E-4</v>
      </c>
      <c r="E27" s="1">
        <f>+(C27-C$7)/C$8</f>
        <v>9849.0889021014409</v>
      </c>
      <c r="F27" s="1">
        <f>ROUND(2*E27,0)/2</f>
        <v>9849</v>
      </c>
      <c r="G27" s="1">
        <f>+C27-(C$7+F27*C$8)</f>
        <v>3.6483999996562488E-2</v>
      </c>
      <c r="K27" s="1">
        <f>+G27</f>
        <v>3.6483999996562488E-2</v>
      </c>
      <c r="O27" s="1">
        <f ca="1">+C$11+C$12*$F27</f>
        <v>3.6052766643323512E-2</v>
      </c>
      <c r="Q27" s="60">
        <f>+C27-15018.5</f>
        <v>40587.358699999997</v>
      </c>
    </row>
    <row r="28" spans="1:21" x14ac:dyDescent="0.2">
      <c r="A28" s="31" t="s">
        <v>51</v>
      </c>
      <c r="B28" s="32" t="s">
        <v>47</v>
      </c>
      <c r="C28" s="31">
        <v>55650.385399999999</v>
      </c>
      <c r="D28" s="31">
        <v>2.2000000000000001E-3</v>
      </c>
      <c r="E28" s="1">
        <f>+(C28-C$7)/C$8</f>
        <v>9957.5889898241639</v>
      </c>
      <c r="F28" s="1">
        <f>ROUND(2*E28,0)/2</f>
        <v>9957.5</v>
      </c>
      <c r="G28" s="1">
        <f>+C28-(C$7+F28*C$8)</f>
        <v>3.6520000001473818E-2</v>
      </c>
      <c r="J28" s="1">
        <f>+G28</f>
        <v>3.6520000001473818E-2</v>
      </c>
      <c r="O28" s="1">
        <f ca="1">+C$11+C$12*$F28</f>
        <v>3.6515430994732777E-2</v>
      </c>
      <c r="Q28" s="60">
        <f>+C28-15018.5</f>
        <v>40631.885399999999</v>
      </c>
    </row>
    <row r="29" spans="1:21" x14ac:dyDescent="0.2">
      <c r="A29" s="33" t="s">
        <v>52</v>
      </c>
      <c r="B29" s="30" t="s">
        <v>47</v>
      </c>
      <c r="C29" s="29">
        <v>55654.488230000003</v>
      </c>
      <c r="D29" s="29">
        <v>1E-4</v>
      </c>
      <c r="E29" s="1">
        <f>+(C29-C$7)/C$8</f>
        <v>9967.5865287145771</v>
      </c>
      <c r="F29" s="1">
        <f>ROUND(2*E29,0)/2</f>
        <v>9967.5</v>
      </c>
      <c r="G29" s="1">
        <f>+C29-(C$7+F29*C$8)</f>
        <v>3.5510000001522712E-2</v>
      </c>
      <c r="K29" s="1">
        <f>+G29</f>
        <v>3.5510000001522712E-2</v>
      </c>
      <c r="O29" s="1">
        <f ca="1">+C$11+C$12*$F29</f>
        <v>3.6558072870438697E-2</v>
      </c>
      <c r="Q29" s="60">
        <f>+C29-15018.5</f>
        <v>40635.988230000003</v>
      </c>
    </row>
    <row r="30" spans="1:21" x14ac:dyDescent="0.2">
      <c r="A30" s="31" t="s">
        <v>50</v>
      </c>
      <c r="B30" s="32" t="s">
        <v>45</v>
      </c>
      <c r="C30" s="31">
        <v>55674.805</v>
      </c>
      <c r="D30" s="31">
        <v>8.9999999999999998E-4</v>
      </c>
      <c r="E30" s="1">
        <f>+(C30-C$7)/C$8</f>
        <v>10017.093258996454</v>
      </c>
      <c r="F30" s="1">
        <f>ROUND(2*E30,0)/2</f>
        <v>10017</v>
      </c>
      <c r="G30" s="1">
        <f>+C30-(C$7+F30*C$8)</f>
        <v>3.8271999997959938E-2</v>
      </c>
      <c r="K30" s="1">
        <f>+G30</f>
        <v>3.8271999997959938E-2</v>
      </c>
      <c r="O30" s="1">
        <f ca="1">+C$11+C$12*$F30</f>
        <v>3.676915015518302E-2</v>
      </c>
      <c r="Q30" s="60">
        <f>+C30-15018.5</f>
        <v>40656.305</v>
      </c>
    </row>
    <row r="31" spans="1:21" x14ac:dyDescent="0.2">
      <c r="A31" s="34" t="s">
        <v>53</v>
      </c>
      <c r="B31" s="35"/>
      <c r="C31" s="29">
        <v>55938.885199999997</v>
      </c>
      <c r="D31" s="29">
        <v>1E-3</v>
      </c>
      <c r="E31" s="1">
        <f>+(C31-C$7)/C$8</f>
        <v>10660.588619439348</v>
      </c>
      <c r="F31" s="1">
        <f>ROUND(2*E31,0)/2</f>
        <v>10660.5</v>
      </c>
      <c r="G31" s="1">
        <f>+C31-(C$7+F31*C$8)</f>
        <v>3.6367999993672129E-2</v>
      </c>
      <c r="K31" s="1">
        <f>+G31</f>
        <v>3.6367999993672129E-2</v>
      </c>
      <c r="O31" s="1">
        <f ca="1">+C$11+C$12*$F31</f>
        <v>3.9513154856859155E-2</v>
      </c>
      <c r="Q31" s="60">
        <f>+C31-15018.5</f>
        <v>40920.385199999997</v>
      </c>
    </row>
    <row r="32" spans="1:21" x14ac:dyDescent="0.2">
      <c r="A32" s="29" t="s">
        <v>54</v>
      </c>
      <c r="B32" s="30" t="s">
        <v>45</v>
      </c>
      <c r="C32" s="29">
        <v>55971.918100000003</v>
      </c>
      <c r="D32" s="29">
        <v>1.9E-3</v>
      </c>
      <c r="E32" s="1">
        <f>+(C32-C$7)/C$8</f>
        <v>10741.081279971935</v>
      </c>
      <c r="F32" s="1">
        <f>ROUND(2*E32,0)/2</f>
        <v>10741</v>
      </c>
      <c r="G32" s="1">
        <f>+C32-(C$7+F32*C$8)</f>
        <v>3.3355999999912456E-2</v>
      </c>
      <c r="K32" s="1">
        <f>+G32</f>
        <v>3.3355999999912456E-2</v>
      </c>
      <c r="O32" s="1">
        <f ca="1">+C$11+C$12*$F32</f>
        <v>3.9856421956291833E-2</v>
      </c>
      <c r="Q32" s="60">
        <f>+C32-15018.5</f>
        <v>40953.418100000003</v>
      </c>
    </row>
    <row r="33" spans="1:17" x14ac:dyDescent="0.2">
      <c r="A33" s="36" t="s">
        <v>55</v>
      </c>
      <c r="B33" s="37" t="s">
        <v>45</v>
      </c>
      <c r="C33" s="38">
        <v>55983.413999999997</v>
      </c>
      <c r="D33" s="8"/>
      <c r="E33" s="1">
        <f>+(C33-C$7)/C$8</f>
        <v>10769.093824320629</v>
      </c>
      <c r="F33" s="1">
        <f>ROUND(2*E33,0)/2</f>
        <v>10769</v>
      </c>
      <c r="G33" s="1">
        <f>+C33-(C$7+F33*C$8)</f>
        <v>3.85039999964647E-2</v>
      </c>
      <c r="K33" s="1">
        <f>+G33</f>
        <v>3.85039999964647E-2</v>
      </c>
      <c r="O33" s="1">
        <f ca="1">+C$11+C$12*$F33</f>
        <v>3.9975819208268419E-2</v>
      </c>
      <c r="Q33" s="60">
        <f>+C33-15018.5</f>
        <v>40964.913999999997</v>
      </c>
    </row>
    <row r="34" spans="1:17" x14ac:dyDescent="0.2">
      <c r="A34" s="29" t="s">
        <v>56</v>
      </c>
      <c r="B34" s="30" t="s">
        <v>45</v>
      </c>
      <c r="C34" s="29">
        <v>56008.448600000003</v>
      </c>
      <c r="D34" s="29">
        <v>2.0000000000000001E-4</v>
      </c>
      <c r="E34" s="1">
        <f>+(C34-C$7)/C$8</f>
        <v>10830.096689929442</v>
      </c>
      <c r="F34" s="1">
        <f>ROUND(2*E34,0)/2</f>
        <v>10830</v>
      </c>
      <c r="G34" s="1">
        <f>+C34-(C$7+F34*C$8)</f>
        <v>3.9680000001681037E-2</v>
      </c>
      <c r="J34" s="1">
        <f>+G34</f>
        <v>3.9680000001681037E-2</v>
      </c>
      <c r="O34" s="1">
        <f ca="1">+C$11+C$12*$F34</f>
        <v>4.0235934650074544E-2</v>
      </c>
      <c r="Q34" s="60">
        <f>+C34-15018.5</f>
        <v>40989.948600000003</v>
      </c>
    </row>
    <row r="35" spans="1:17" x14ac:dyDescent="0.2">
      <c r="A35" s="29" t="s">
        <v>56</v>
      </c>
      <c r="B35" s="30" t="s">
        <v>45</v>
      </c>
      <c r="C35" s="29">
        <v>56008.652300000002</v>
      </c>
      <c r="D35" s="29">
        <v>2.9999999999999997E-4</v>
      </c>
      <c r="E35" s="1">
        <f>+(C35-C$7)/C$8</f>
        <v>10830.593054310115</v>
      </c>
      <c r="F35" s="1">
        <f>ROUND(2*E35,0)/2</f>
        <v>10830.5</v>
      </c>
      <c r="G35" s="1">
        <f>+C35-(C$7+F35*C$8)</f>
        <v>3.8188000005902722E-2</v>
      </c>
      <c r="J35" s="1">
        <f>+G35</f>
        <v>3.8188000005902722E-2</v>
      </c>
      <c r="O35" s="1">
        <f ca="1">+C$11+C$12*$F35</f>
        <v>4.0238066743859845E-2</v>
      </c>
      <c r="Q35" s="60">
        <f>+C35-15018.5</f>
        <v>40990.152300000002</v>
      </c>
    </row>
    <row r="36" spans="1:17" x14ac:dyDescent="0.2">
      <c r="A36" s="33" t="s">
        <v>57</v>
      </c>
      <c r="B36" s="30" t="s">
        <v>47</v>
      </c>
      <c r="C36" s="29">
        <v>56009.474900000001</v>
      </c>
      <c r="D36" s="29">
        <v>2.8999999999999998E-3</v>
      </c>
      <c r="E36" s="1">
        <f>+(C36-C$7)/C$8</f>
        <v>10832.597518421775</v>
      </c>
      <c r="F36" s="1">
        <f>ROUND(2*E36,0)/2</f>
        <v>10832.5</v>
      </c>
      <c r="G36" s="1">
        <f>+C36-(C$7+F36*C$8)</f>
        <v>4.0020000000367872E-2</v>
      </c>
      <c r="J36" s="1">
        <f>+G36</f>
        <v>4.0020000000367872E-2</v>
      </c>
      <c r="O36" s="1">
        <f ca="1">+C$11+C$12*$F36</f>
        <v>4.0246595119001027E-2</v>
      </c>
      <c r="Q36" s="60">
        <f>+C36-15018.5</f>
        <v>40990.974900000001</v>
      </c>
    </row>
    <row r="37" spans="1:17" x14ac:dyDescent="0.2">
      <c r="A37" s="29" t="s">
        <v>54</v>
      </c>
      <c r="B37" s="30" t="s">
        <v>45</v>
      </c>
      <c r="C37" s="29">
        <v>56034.709900000002</v>
      </c>
      <c r="D37" s="29">
        <v>4.0000000000000002E-4</v>
      </c>
      <c r="E37" s="1">
        <f>+(C37-C$7)/C$8</f>
        <v>10894.088707162078</v>
      </c>
      <c r="F37" s="1">
        <f>ROUND(2*E37,0)/2</f>
        <v>10894</v>
      </c>
      <c r="G37" s="1">
        <f>+C37-(C$7+F37*C$8)</f>
        <v>3.6403999998583458E-2</v>
      </c>
      <c r="K37" s="1">
        <f>+G37</f>
        <v>3.6403999998583458E-2</v>
      </c>
      <c r="O37" s="1">
        <f ca="1">+C$11+C$12*$F37</f>
        <v>4.0508842654592453E-2</v>
      </c>
      <c r="Q37" s="60">
        <f>+C37-15018.5</f>
        <v>41016.209900000002</v>
      </c>
    </row>
    <row r="38" spans="1:17" x14ac:dyDescent="0.2">
      <c r="A38" s="39" t="s">
        <v>58</v>
      </c>
      <c r="B38" s="40" t="s">
        <v>45</v>
      </c>
      <c r="C38" s="29">
        <v>56408.375</v>
      </c>
      <c r="D38" s="41">
        <v>5.0000000000000001E-4</v>
      </c>
      <c r="E38" s="1">
        <f>+(C38-C$7)/C$8</f>
        <v>11804.614214979143</v>
      </c>
      <c r="F38" s="1">
        <f>ROUND(2*E38,0)/2</f>
        <v>11804.5</v>
      </c>
      <c r="G38" s="1">
        <f>+C38-(C$7+F38*C$8)</f>
        <v>4.6871999998984393E-2</v>
      </c>
      <c r="J38" s="1">
        <f>+G38</f>
        <v>4.6871999998984393E-2</v>
      </c>
      <c r="O38" s="1">
        <f ca="1">+C$11+C$12*$F38</f>
        <v>4.4391385437616726E-2</v>
      </c>
      <c r="Q38" s="60">
        <f>+C38-15018.5</f>
        <v>41389.875</v>
      </c>
    </row>
    <row r="39" spans="1:17" x14ac:dyDescent="0.2">
      <c r="A39" s="39" t="s">
        <v>58</v>
      </c>
      <c r="B39" s="40" t="s">
        <v>45</v>
      </c>
      <c r="C39" s="29">
        <v>56408.576300000001</v>
      </c>
      <c r="D39" s="41">
        <v>2.0000000000000001E-4</v>
      </c>
      <c r="E39" s="1">
        <f>+(C39-C$7)/C$8</f>
        <v>11805.104731178606</v>
      </c>
      <c r="F39" s="1">
        <f>ROUND(2*E39,0)/2</f>
        <v>11805</v>
      </c>
      <c r="G39" s="1">
        <f>+C39-(C$7+F39*C$8)</f>
        <v>4.2979999998351559E-2</v>
      </c>
      <c r="J39" s="1">
        <f>+G39</f>
        <v>4.2979999998351559E-2</v>
      </c>
      <c r="O39" s="1">
        <f ca="1">+C$11+C$12*$F39</f>
        <v>4.4393517531402027E-2</v>
      </c>
      <c r="Q39" s="60">
        <f>+C39-15018.5</f>
        <v>41390.076300000001</v>
      </c>
    </row>
    <row r="40" spans="1:17" x14ac:dyDescent="0.2">
      <c r="A40" s="42" t="s">
        <v>59</v>
      </c>
      <c r="B40" s="43" t="s">
        <v>47</v>
      </c>
      <c r="C40" s="77">
        <v>57125.31882</v>
      </c>
      <c r="D40" s="77">
        <v>1E-4</v>
      </c>
      <c r="E40" s="35">
        <f>+(C40-C$7)/C$8</f>
        <v>13551.621456976882</v>
      </c>
      <c r="F40" s="1">
        <f>ROUND(2*E40,0)/2</f>
        <v>13551.5</v>
      </c>
      <c r="G40" s="1">
        <f>+C40-(C$7+F40*C$8)</f>
        <v>4.9844000001030508E-2</v>
      </c>
      <c r="K40" s="1">
        <f>+G40</f>
        <v>4.9844000001030508E-2</v>
      </c>
      <c r="O40" s="1">
        <f ca="1">+C$11+C$12*$F40</f>
        <v>5.184092112344145E-2</v>
      </c>
      <c r="Q40" s="60">
        <f>+C40-15018.5</f>
        <v>42106.81882</v>
      </c>
    </row>
    <row r="41" spans="1:17" x14ac:dyDescent="0.2">
      <c r="A41" s="42" t="s">
        <v>59</v>
      </c>
      <c r="B41" s="43" t="s">
        <v>45</v>
      </c>
      <c r="C41" s="77">
        <v>57414.439590000002</v>
      </c>
      <c r="D41" s="77">
        <v>2.0000000000000001E-4</v>
      </c>
      <c r="E41" s="35">
        <f>+(C41-C$7)/C$8</f>
        <v>14256.134230379357</v>
      </c>
      <c r="F41" s="1">
        <f>ROUND(2*E41,0)/2</f>
        <v>14256</v>
      </c>
      <c r="G41" s="1">
        <f>+C41-(C$7+F41*C$8)</f>
        <v>5.5086000000301283E-2</v>
      </c>
      <c r="K41" s="1">
        <f>+G41</f>
        <v>5.5086000000301283E-2</v>
      </c>
      <c r="O41" s="1">
        <f ca="1">+C$11+C$12*$F41</f>
        <v>5.4845041266923716E-2</v>
      </c>
      <c r="Q41" s="60">
        <f>+C41-15018.5</f>
        <v>42395.939590000002</v>
      </c>
    </row>
    <row r="42" spans="1:17" x14ac:dyDescent="0.2">
      <c r="A42" s="44" t="s">
        <v>60</v>
      </c>
      <c r="B42" s="45" t="s">
        <v>47</v>
      </c>
      <c r="C42" s="78">
        <v>57753.623099999997</v>
      </c>
      <c r="D42" s="78">
        <v>2.0000000000000001E-4</v>
      </c>
      <c r="E42" s="35">
        <f>+(C42-C$7)/C$8</f>
        <v>15082.63699364497</v>
      </c>
      <c r="F42" s="1">
        <f>ROUND(2*E42,0)/2</f>
        <v>15082.5</v>
      </c>
      <c r="G42" s="1">
        <f>+C42-(C$7+F42*C$8)</f>
        <v>5.6219999998575076E-2</v>
      </c>
      <c r="K42" s="1">
        <f>+G42</f>
        <v>5.6219999998575076E-2</v>
      </c>
      <c r="O42" s="1">
        <f ca="1">+C$11+C$12*$F42</f>
        <v>5.8369392294018246E-2</v>
      </c>
      <c r="Q42" s="60">
        <f>+C42-15018.5</f>
        <v>42735.123099999997</v>
      </c>
    </row>
    <row r="43" spans="1:17" x14ac:dyDescent="0.2">
      <c r="A43" s="61" t="s">
        <v>167</v>
      </c>
      <c r="C43" s="5">
        <v>57864.425999999999</v>
      </c>
      <c r="D43" s="5"/>
      <c r="E43" s="35">
        <f>+(C43-C$7)/C$8</f>
        <v>15352.63509298608</v>
      </c>
      <c r="F43" s="1">
        <f>ROUND(2*E43,0)/2</f>
        <v>15352.5</v>
      </c>
      <c r="G43" s="1">
        <f>+C43-(C$7+F43*C$8)</f>
        <v>5.5440000003727619E-2</v>
      </c>
      <c r="I43" s="1">
        <f>+G43</f>
        <v>5.5440000003727619E-2</v>
      </c>
      <c r="O43" s="1">
        <f ca="1">+C$11+C$12*$F43</f>
        <v>5.9520722938078155E-2</v>
      </c>
      <c r="Q43" s="60">
        <f>+C43-15018.5</f>
        <v>42845.925999999999</v>
      </c>
    </row>
    <row r="44" spans="1:17" x14ac:dyDescent="0.2">
      <c r="A44" s="46" t="s">
        <v>61</v>
      </c>
      <c r="B44" s="47" t="s">
        <v>47</v>
      </c>
      <c r="C44" s="79">
        <v>57864.428129999898</v>
      </c>
      <c r="D44" s="79">
        <v>8.9999999999999998E-4</v>
      </c>
      <c r="E44" s="35">
        <f>+(C44-C$7)/C$8</f>
        <v>15352.640283246663</v>
      </c>
      <c r="F44" s="1">
        <f>ROUND(2*E44,0)/2</f>
        <v>15352.5</v>
      </c>
      <c r="G44" s="1">
        <f>+C44-(C$7+F44*C$8)</f>
        <v>5.7569999902625568E-2</v>
      </c>
      <c r="K44" s="1">
        <f>+G44</f>
        <v>5.7569999902625568E-2</v>
      </c>
      <c r="O44" s="1">
        <f ca="1">+C$11+C$12*$F44</f>
        <v>5.9520722938078155E-2</v>
      </c>
      <c r="Q44" s="60">
        <f>+C44-15018.5</f>
        <v>42845.928129999898</v>
      </c>
    </row>
    <row r="45" spans="1:17" x14ac:dyDescent="0.2">
      <c r="A45" s="61" t="s">
        <v>161</v>
      </c>
      <c r="B45" s="62" t="s">
        <v>47</v>
      </c>
      <c r="C45" s="76">
        <v>59922.324599999934</v>
      </c>
      <c r="D45" s="5"/>
      <c r="E45" s="35">
        <f>+(C45-C$7)/C$8</f>
        <v>20367.203399742521</v>
      </c>
      <c r="F45" s="1">
        <f>ROUND(2*E45,0)/2</f>
        <v>20367</v>
      </c>
      <c r="G45" s="1">
        <f>+C45-(C$7+F45*C$8)</f>
        <v>8.3471999932953622E-2</v>
      </c>
      <c r="K45" s="1">
        <f>+G45</f>
        <v>8.3471999932953622E-2</v>
      </c>
      <c r="O45" s="1">
        <f ca="1">+C$11+C$12*$F45</f>
        <v>8.0903491510813177E-2</v>
      </c>
      <c r="Q45" s="60">
        <f>+C45-15018.5</f>
        <v>44903.824599999934</v>
      </c>
    </row>
    <row r="46" spans="1:17" x14ac:dyDescent="0.2">
      <c r="A46" s="61" t="s">
        <v>161</v>
      </c>
      <c r="B46" s="62" t="s">
        <v>47</v>
      </c>
      <c r="C46" s="63">
        <v>59922.32489999989</v>
      </c>
      <c r="E46" s="35">
        <f>+(C46-C$7)/C$8</f>
        <v>20367.204130765065</v>
      </c>
      <c r="F46" s="1">
        <f>ROUND(2*E46,0)/2</f>
        <v>20367</v>
      </c>
      <c r="G46" s="1">
        <f>+C46-(C$7+F46*C$8)</f>
        <v>8.3771999888995197E-2</v>
      </c>
      <c r="K46" s="1">
        <f>+G46</f>
        <v>8.3771999888995197E-2</v>
      </c>
      <c r="O46" s="1">
        <f ca="1">+C$11+C$12*$F46</f>
        <v>8.0903491510813177E-2</v>
      </c>
      <c r="Q46" s="60">
        <f>+C46-15018.5</f>
        <v>44903.82489999989</v>
      </c>
    </row>
    <row r="47" spans="1:17" x14ac:dyDescent="0.2">
      <c r="A47" s="61" t="s">
        <v>161</v>
      </c>
      <c r="B47" s="62" t="s">
        <v>45</v>
      </c>
      <c r="C47" s="63">
        <v>59923.347899999935</v>
      </c>
      <c r="E47" s="35">
        <f>+(C47-C$7)/C$8</f>
        <v>20369.696918008343</v>
      </c>
      <c r="F47" s="1">
        <f>ROUND(2*E47,0)/2</f>
        <v>20369.5</v>
      </c>
      <c r="G47" s="1">
        <f>+C47-(C$7+F47*C$8)</f>
        <v>8.0811999934667256E-2</v>
      </c>
      <c r="K47" s="1">
        <f>+G47</f>
        <v>8.0811999934667256E-2</v>
      </c>
      <c r="O47" s="1">
        <f ca="1">+C$11+C$12*$F47</f>
        <v>8.0914151979739654E-2</v>
      </c>
      <c r="Q47" s="60">
        <f>+C47-15018.5</f>
        <v>44904.847899999935</v>
      </c>
    </row>
    <row r="48" spans="1:17" x14ac:dyDescent="0.2">
      <c r="A48" s="61" t="s">
        <v>161</v>
      </c>
      <c r="B48" s="62" t="s">
        <v>45</v>
      </c>
      <c r="C48" s="63">
        <v>59923.348000000231</v>
      </c>
      <c r="E48" s="35">
        <f>+(C48-C$7)/C$8</f>
        <v>20369.697161683282</v>
      </c>
      <c r="F48" s="1">
        <f>ROUND(2*E48,0)/2</f>
        <v>20369.5</v>
      </c>
      <c r="G48" s="1">
        <f>+C48-(C$7+F48*C$8)</f>
        <v>8.0912000230455305E-2</v>
      </c>
      <c r="K48" s="1">
        <f>+G48</f>
        <v>8.0912000230455305E-2</v>
      </c>
      <c r="O48" s="1">
        <f ca="1">+C$11+C$12*$F48</f>
        <v>8.0914151979739654E-2</v>
      </c>
      <c r="Q48" s="60">
        <f>+C48-15018.5</f>
        <v>44904.848000000231</v>
      </c>
    </row>
    <row r="49" spans="1:17" x14ac:dyDescent="0.2">
      <c r="A49" s="64" t="s">
        <v>162</v>
      </c>
      <c r="B49" s="65" t="s">
        <v>47</v>
      </c>
      <c r="C49" s="66">
        <v>60037.028969999999</v>
      </c>
      <c r="D49" s="66">
        <v>6.0000000000000002E-5</v>
      </c>
      <c r="E49" s="35">
        <f>+(C49-C$7)/C$8</f>
        <v>20646.708375570197</v>
      </c>
      <c r="F49" s="1">
        <f>ROUND(2*E49,0)/2</f>
        <v>20646.5</v>
      </c>
      <c r="G49" s="1">
        <f>+C49-(C$7+F49*C$8)</f>
        <v>8.5513999998511281E-2</v>
      </c>
      <c r="K49" s="1">
        <f>+G49</f>
        <v>8.5513999998511281E-2</v>
      </c>
      <c r="O49" s="1">
        <f ca="1">+C$11+C$12*$F49</f>
        <v>8.209533193679372E-2</v>
      </c>
      <c r="Q49" s="60">
        <f>+C49-15018.5</f>
        <v>45018.528969999999</v>
      </c>
    </row>
  </sheetData>
  <sheetProtection selectLockedCells="1" selectUnlockedCells="1"/>
  <sortState xmlns:xlrd2="http://schemas.microsoft.com/office/spreadsheetml/2017/richdata2" ref="A21:Y49">
    <sortCondition ref="C21:C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DF45-5B0E-4221-83D6-7ECB435A7FBF}">
  <dimension ref="A1:W187"/>
  <sheetViews>
    <sheetView workbookViewId="0">
      <pane xSplit="13" ySplit="22" topLeftCell="N36" activePane="bottomRight" state="frozen"/>
      <selection pane="topRight" activeCell="N1" sqref="N1"/>
      <selection pane="bottomLeft" activeCell="A23" sqref="A23"/>
      <selection pane="bottomRight" activeCell="F2" sqref="F2"/>
    </sheetView>
  </sheetViews>
  <sheetFormatPr defaultRowHeight="12.75" x14ac:dyDescent="0.2"/>
  <cols>
    <col min="1" max="1" width="15.140625" customWidth="1"/>
    <col min="2" max="2" width="6.5703125" customWidth="1"/>
    <col min="3" max="3" width="13" customWidth="1"/>
    <col min="4" max="4" width="11" customWidth="1"/>
    <col min="5" max="5" width="13" customWidth="1"/>
    <col min="6" max="6" width="16.28515625" customWidth="1"/>
  </cols>
  <sheetData>
    <row r="1" spans="1:23" ht="20.25" x14ac:dyDescent="0.3">
      <c r="A1" s="2" t="s">
        <v>0</v>
      </c>
      <c r="B1" s="1"/>
      <c r="C1" s="1"/>
      <c r="D1" s="1"/>
      <c r="E1" s="3"/>
      <c r="F1" s="3"/>
      <c r="G1" s="4" t="s">
        <v>1</v>
      </c>
      <c r="H1" s="5" t="s">
        <v>2</v>
      </c>
      <c r="I1" s="6" t="s">
        <v>3</v>
      </c>
      <c r="J1" s="6" t="s">
        <v>3</v>
      </c>
      <c r="K1" s="7">
        <v>51563.950199999999</v>
      </c>
      <c r="L1" s="7">
        <v>0.41038400000000003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95" customHeight="1" x14ac:dyDescent="0.2">
      <c r="A2" s="1" t="s">
        <v>4</v>
      </c>
      <c r="B2" s="1" t="s">
        <v>1</v>
      </c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9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95" customHeight="1" thickTop="1" thickBot="1" x14ac:dyDescent="0.25">
      <c r="A4" s="9" t="s">
        <v>5</v>
      </c>
      <c r="B4" s="1"/>
      <c r="C4" s="10" t="s">
        <v>3</v>
      </c>
      <c r="D4" s="11" t="s">
        <v>3</v>
      </c>
      <c r="E4" s="1"/>
      <c r="F4" s="12" t="str">
        <f>"F"&amp;B9</f>
        <v>F22</v>
      </c>
      <c r="G4" s="13" t="str">
        <f>"G"&amp;B9</f>
        <v>G22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95" customHeight="1" thickTop="1" x14ac:dyDescent="0.2">
      <c r="A5" s="14" t="s">
        <v>6</v>
      </c>
      <c r="C5" s="15">
        <v>-9.5</v>
      </c>
      <c r="D5" t="s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95" customHeight="1" x14ac:dyDescent="0.2">
      <c r="A6" s="16" t="s">
        <v>8</v>
      </c>
      <c r="B6" s="1"/>
      <c r="C6" s="1"/>
      <c r="D6" s="1"/>
      <c r="E6" s="80" t="s">
        <v>2</v>
      </c>
      <c r="F6" s="80" t="s">
        <v>167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95" customHeight="1" x14ac:dyDescent="0.2">
      <c r="A7" s="1" t="s">
        <v>9</v>
      </c>
      <c r="B7" s="1"/>
      <c r="C7" s="1">
        <v>57864.425999999999</v>
      </c>
      <c r="D7" s="1" t="s">
        <v>167</v>
      </c>
      <c r="E7" s="81">
        <v>51563.950199999999</v>
      </c>
      <c r="F7" s="81">
        <v>57864.425999999999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95" customHeight="1" x14ac:dyDescent="0.2">
      <c r="A8" s="1" t="s">
        <v>10</v>
      </c>
      <c r="B8" s="1"/>
      <c r="C8" s="1">
        <v>0.4103887</v>
      </c>
      <c r="D8" s="17" t="s">
        <v>167</v>
      </c>
      <c r="E8" s="82">
        <v>0.41038400000000003</v>
      </c>
      <c r="F8" s="82">
        <v>0.4103887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95" customHeight="1" x14ac:dyDescent="0.2">
      <c r="A9" s="18" t="s">
        <v>11</v>
      </c>
      <c r="B9" s="19">
        <v>22</v>
      </c>
      <c r="C9" s="12" t="str">
        <f>"F"&amp;B9</f>
        <v>F22</v>
      </c>
      <c r="D9" s="13" t="str">
        <f>"G"&amp;B9</f>
        <v>G22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95" customHeight="1" thickBot="1" x14ac:dyDescent="0.25">
      <c r="C10" s="20" t="s">
        <v>12</v>
      </c>
      <c r="D10" s="20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95" customHeight="1" x14ac:dyDescent="0.2">
      <c r="A11" t="s">
        <v>14</v>
      </c>
      <c r="C11" s="21">
        <f ca="1">INTERCEPT(INDIRECT($D$9):G990,INDIRECT($C$9):F990)</f>
        <v>4.0807229394041709E-3</v>
      </c>
      <c r="D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95" customHeight="1" x14ac:dyDescent="0.2">
      <c r="A12" t="s">
        <v>15</v>
      </c>
      <c r="C12" s="21">
        <f ca="1">SLOPE(INDIRECT($D$9):G990,INDIRECT($C$9):F990)</f>
        <v>-4.358124292828999E-7</v>
      </c>
      <c r="D12" s="22"/>
      <c r="E12" s="67" t="s">
        <v>165</v>
      </c>
      <c r="F12" s="68" t="s">
        <v>166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95" customHeight="1" x14ac:dyDescent="0.2">
      <c r="A13" t="s">
        <v>16</v>
      </c>
      <c r="C13" s="22" t="s">
        <v>17</v>
      </c>
      <c r="D13" s="1"/>
      <c r="E13" s="69" t="s">
        <v>19</v>
      </c>
      <c r="F13" s="70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95" customHeight="1" x14ac:dyDescent="0.2">
      <c r="D14" s="1"/>
      <c r="E14" s="69" t="s">
        <v>21</v>
      </c>
      <c r="F14" s="71">
        <f ca="1">NOW()+15018.5+$C$5/24</f>
        <v>60519.76678125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95" customHeight="1" x14ac:dyDescent="0.2">
      <c r="A15" s="23" t="s">
        <v>18</v>
      </c>
      <c r="C15" s="24">
        <f ca="1">(C7+C11)+(C8+C12)*INT(MAX(F21:F3531))</f>
        <v>60037.025551331935</v>
      </c>
      <c r="D15" s="1"/>
      <c r="E15" s="69" t="s">
        <v>23</v>
      </c>
      <c r="F15" s="71">
        <f ca="1">ROUND(2*(F14-$C$7)/$C$8,0)/2+F13</f>
        <v>6471.5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95" customHeight="1" x14ac:dyDescent="0.2">
      <c r="A16" s="23" t="s">
        <v>20</v>
      </c>
      <c r="C16" s="24">
        <f ca="1">+C8+C12</f>
        <v>0.41038826418757074</v>
      </c>
      <c r="D16" s="1"/>
      <c r="E16" s="69" t="s">
        <v>25</v>
      </c>
      <c r="F16" s="72">
        <f ca="1">ROUND(2*(F14-$C$15)/$C$16,0)/2+F13</f>
        <v>1177.5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95" customHeight="1" thickBot="1" x14ac:dyDescent="0.25">
      <c r="A17" s="18" t="s">
        <v>22</v>
      </c>
      <c r="C17">
        <f>COUNT(C21:C2189)</f>
        <v>29</v>
      </c>
      <c r="D17" s="1"/>
      <c r="E17" s="69" t="s">
        <v>163</v>
      </c>
      <c r="F17" s="73">
        <f ca="1">+$C$15+$C$16*$F$16-15018.5-$C$5/24</f>
        <v>45502.153565746135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95" customHeight="1" thickTop="1" thickBot="1" x14ac:dyDescent="0.25">
      <c r="A18" s="23" t="s">
        <v>24</v>
      </c>
      <c r="C18" s="25">
        <f ca="1">+C15</f>
        <v>60037.025551331935</v>
      </c>
      <c r="D18" s="26">
        <f ca="1">+C16</f>
        <v>0.41038826418757074</v>
      </c>
      <c r="E18" s="75" t="s">
        <v>164</v>
      </c>
      <c r="F18" s="74">
        <f ca="1">+($C$15+$C$16*$F$16)-($C$16/2)-15018.5-$C$5/24</f>
        <v>45501.948371614038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95" customHeight="1" thickTop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95" customHeight="1" thickBot="1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7" t="s">
        <v>33</v>
      </c>
      <c r="I20" s="27" t="s">
        <v>167</v>
      </c>
      <c r="J20" s="27" t="s">
        <v>35</v>
      </c>
      <c r="K20" s="27" t="s">
        <v>36</v>
      </c>
      <c r="L20" s="27" t="s">
        <v>37</v>
      </c>
      <c r="M20" s="27" t="s">
        <v>38</v>
      </c>
      <c r="N20" s="27" t="s">
        <v>39</v>
      </c>
      <c r="O20" s="27" t="s">
        <v>40</v>
      </c>
      <c r="P20" s="27" t="s">
        <v>41</v>
      </c>
      <c r="Q20" s="20" t="s">
        <v>42</v>
      </c>
      <c r="R20" s="1"/>
      <c r="S20" s="1"/>
      <c r="T20" s="1"/>
      <c r="U20" s="28" t="s">
        <v>43</v>
      </c>
      <c r="V20" s="1"/>
      <c r="W20" s="1"/>
    </row>
    <row r="21" spans="1:23" ht="12.95" customHeight="1" x14ac:dyDescent="0.2">
      <c r="A21" s="17" t="s">
        <v>2</v>
      </c>
      <c r="B21" s="1"/>
      <c r="C21" s="5">
        <v>51563.950199999999</v>
      </c>
      <c r="D21" s="5" t="s">
        <v>17</v>
      </c>
      <c r="E21" s="1">
        <f>+(C21-C$7)/C$8</f>
        <v>-15352.459266056791</v>
      </c>
      <c r="F21" s="1">
        <f>ROUND(2*E21,0)/2</f>
        <v>-15352.5</v>
      </c>
      <c r="G21" s="1">
        <f>+C21-(C$7+F21*C$8)</f>
        <v>1.6716749996703584E-2</v>
      </c>
      <c r="H21" s="1">
        <f>+G21</f>
        <v>1.6716749996703584E-2</v>
      </c>
      <c r="I21" s="1"/>
      <c r="J21" s="1"/>
      <c r="K21" s="1"/>
      <c r="L21" s="1"/>
      <c r="M21" s="1"/>
      <c r="N21" s="1"/>
      <c r="O21" s="1">
        <f ca="1">+C$11+C$12*$F21</f>
        <v>1.0771533259969893E-2</v>
      </c>
      <c r="P21" s="1"/>
      <c r="Q21" s="60">
        <f>+C21-15018.5</f>
        <v>36545.450199999999</v>
      </c>
      <c r="R21" s="1"/>
      <c r="S21" s="1"/>
      <c r="T21" s="1"/>
      <c r="U21" s="1"/>
      <c r="V21" s="1"/>
      <c r="W21" s="1"/>
    </row>
    <row r="22" spans="1:23" ht="12.95" customHeight="1" x14ac:dyDescent="0.2">
      <c r="A22" s="29" t="s">
        <v>44</v>
      </c>
      <c r="B22" s="30" t="s">
        <v>45</v>
      </c>
      <c r="C22" s="31">
        <v>54865.931700000001</v>
      </c>
      <c r="D22" s="31">
        <v>2.9999999999999997E-4</v>
      </c>
      <c r="E22" s="1">
        <f>+(C22-C$7)/C$8</f>
        <v>-7306.4738380954414</v>
      </c>
      <c r="F22" s="1">
        <f>ROUND(2*E22,0)/2</f>
        <v>-7306.5</v>
      </c>
      <c r="G22" s="1">
        <f>+C22-(C$7+F22*C$8)</f>
        <v>1.0736550000729039E-2</v>
      </c>
      <c r="H22" s="1"/>
      <c r="I22" s="1"/>
      <c r="J22" s="1"/>
      <c r="K22" s="1">
        <f>+G22</f>
        <v>1.0736550000729039E-2</v>
      </c>
      <c r="L22" s="1"/>
      <c r="M22" s="1"/>
      <c r="N22" s="1"/>
      <c r="O22" s="1">
        <f ca="1">+C$11+C$12*$F22</f>
        <v>7.2649864539596791E-3</v>
      </c>
      <c r="P22" s="1"/>
      <c r="Q22" s="60">
        <f>+C22-15018.5</f>
        <v>39847.431700000001</v>
      </c>
      <c r="R22" s="1"/>
      <c r="S22" s="1"/>
      <c r="T22" s="1"/>
      <c r="U22" s="1"/>
      <c r="V22" s="1"/>
      <c r="W22" s="1"/>
    </row>
    <row r="23" spans="1:23" ht="12.95" customHeight="1" x14ac:dyDescent="0.2">
      <c r="A23" s="31" t="s">
        <v>46</v>
      </c>
      <c r="B23" s="32" t="s">
        <v>47</v>
      </c>
      <c r="C23" s="31">
        <v>54922.360399999998</v>
      </c>
      <c r="D23" s="31">
        <v>2.0000000000000001E-4</v>
      </c>
      <c r="E23" s="1">
        <f>+(C23-C$7)/C$8</f>
        <v>-7168.9732197792036</v>
      </c>
      <c r="F23" s="1">
        <f>ROUND(2*E23,0)/2</f>
        <v>-7169</v>
      </c>
      <c r="G23" s="1">
        <f>+C23-(C$7+F23*C$8)</f>
        <v>1.0990299997502007E-2</v>
      </c>
      <c r="H23" s="1"/>
      <c r="I23" s="1"/>
      <c r="J23" s="1">
        <f>+G23</f>
        <v>1.0990299997502007E-2</v>
      </c>
      <c r="K23" s="1"/>
      <c r="L23" s="1"/>
      <c r="M23" s="1"/>
      <c r="N23" s="1"/>
      <c r="O23" s="1">
        <f ca="1">+C$11+C$12*$F23</f>
        <v>7.2050622449332802E-3</v>
      </c>
      <c r="P23" s="1"/>
      <c r="Q23" s="60">
        <f>+C23-15018.5</f>
        <v>39903.860399999998</v>
      </c>
      <c r="R23" s="1"/>
      <c r="S23" s="1"/>
      <c r="T23" s="1"/>
      <c r="U23" s="1"/>
      <c r="V23" s="1"/>
      <c r="W23" s="1"/>
    </row>
    <row r="24" spans="1:23" ht="12.95" customHeight="1" x14ac:dyDescent="0.2">
      <c r="A24" s="31" t="s">
        <v>48</v>
      </c>
      <c r="B24" s="32" t="s">
        <v>45</v>
      </c>
      <c r="C24" s="31">
        <v>54932.415000000001</v>
      </c>
      <c r="D24" s="31">
        <v>2.0000000000000001E-4</v>
      </c>
      <c r="E24" s="1">
        <f>+(C24-C$7)/C$8</f>
        <v>-7144.4730325177052</v>
      </c>
      <c r="F24" s="1">
        <f>ROUND(2*E24,0)/2</f>
        <v>-7144.5</v>
      </c>
      <c r="G24" s="1">
        <f>+C24-(C$7+F24*C$8)</f>
        <v>1.1067150000599213E-2</v>
      </c>
      <c r="H24" s="1"/>
      <c r="I24" s="1"/>
      <c r="J24" s="1">
        <f>+G24</f>
        <v>1.1067150000599213E-2</v>
      </c>
      <c r="K24" s="1"/>
      <c r="L24" s="1"/>
      <c r="M24" s="1"/>
      <c r="N24" s="1"/>
      <c r="O24" s="1">
        <f ca="1">+C$11+C$12*$F24</f>
        <v>7.1943848404158496E-3</v>
      </c>
      <c r="P24" s="1"/>
      <c r="Q24" s="60">
        <f>+C24-15018.5</f>
        <v>39913.915000000001</v>
      </c>
      <c r="R24" s="1"/>
      <c r="S24" s="1"/>
      <c r="T24" s="1"/>
      <c r="U24" s="1"/>
      <c r="V24" s="1"/>
      <c r="W24" s="1"/>
    </row>
    <row r="25" spans="1:23" ht="12.95" customHeight="1" x14ac:dyDescent="0.2">
      <c r="A25" s="31" t="s">
        <v>48</v>
      </c>
      <c r="B25" s="32" t="s">
        <v>47</v>
      </c>
      <c r="C25" s="31">
        <v>54932.620699999999</v>
      </c>
      <c r="D25" s="31">
        <v>1E-3</v>
      </c>
      <c r="E25" s="1">
        <f>+(C25-C$7)/C$8</f>
        <v>-7143.9718003931393</v>
      </c>
      <c r="F25" s="1">
        <f>ROUND(2*E25,0)/2</f>
        <v>-7144</v>
      </c>
      <c r="G25" s="1">
        <f>+C25-(C$7+F25*C$8)</f>
        <v>1.1572800001886208E-2</v>
      </c>
      <c r="H25" s="1"/>
      <c r="I25" s="1"/>
      <c r="J25" s="1">
        <f>+G25</f>
        <v>1.1572800001886208E-2</v>
      </c>
      <c r="K25" s="1"/>
      <c r="L25" s="1"/>
      <c r="M25" s="1"/>
      <c r="N25" s="1"/>
      <c r="O25" s="1">
        <f ca="1">+C$11+C$12*$F25</f>
        <v>7.1941669342012078E-3</v>
      </c>
      <c r="P25" s="1"/>
      <c r="Q25" s="60">
        <f>+C25-15018.5</f>
        <v>39914.120699999999</v>
      </c>
      <c r="R25" s="1"/>
      <c r="S25" s="1"/>
      <c r="T25" s="1"/>
      <c r="U25" s="1"/>
      <c r="V25" s="1"/>
      <c r="W25" s="1"/>
    </row>
    <row r="26" spans="1:23" ht="12.95" customHeight="1" x14ac:dyDescent="0.2">
      <c r="A26" s="31" t="s">
        <v>49</v>
      </c>
      <c r="B26" s="32" t="s">
        <v>47</v>
      </c>
      <c r="C26" s="31">
        <v>55243.6924</v>
      </c>
      <c r="D26" s="31">
        <v>5.0000000000000001E-4</v>
      </c>
      <c r="E26" s="1">
        <f>+(C26-C$7)/C$8</f>
        <v>-6385.978951174824</v>
      </c>
      <c r="F26" s="1">
        <f>ROUND(2*E26,0)/2</f>
        <v>-6386</v>
      </c>
      <c r="G26" s="1">
        <f>+C26-(C$7+F26*C$8)</f>
        <v>8.638200000859797E-3</v>
      </c>
      <c r="H26" s="1"/>
      <c r="I26" s="1"/>
      <c r="J26" s="1"/>
      <c r="K26" s="1">
        <f>+G26</f>
        <v>8.638200000859797E-3</v>
      </c>
      <c r="L26" s="1"/>
      <c r="M26" s="1"/>
      <c r="N26" s="1"/>
      <c r="O26" s="1">
        <f ca="1">+C$11+C$12*$F26</f>
        <v>6.8638211128047699E-3</v>
      </c>
      <c r="P26" s="1"/>
      <c r="Q26" s="60">
        <f>+C26-15018.5</f>
        <v>40225.1924</v>
      </c>
      <c r="R26" s="1"/>
      <c r="S26" s="1"/>
      <c r="T26" s="1"/>
      <c r="U26" s="1"/>
      <c r="V26" s="1"/>
      <c r="W26" s="1"/>
    </row>
    <row r="27" spans="1:23" ht="12.95" customHeight="1" x14ac:dyDescent="0.2">
      <c r="A27" s="31" t="s">
        <v>50</v>
      </c>
      <c r="B27" s="32" t="s">
        <v>45</v>
      </c>
      <c r="C27" s="31">
        <v>55605.858699999997</v>
      </c>
      <c r="D27" s="31">
        <v>4.0000000000000002E-4</v>
      </c>
      <c r="E27" s="1">
        <f>+(C27-C$7)/C$8</f>
        <v>-5503.4831612079051</v>
      </c>
      <c r="F27" s="1">
        <f>ROUND(2*E27,0)/2</f>
        <v>-5503.5</v>
      </c>
      <c r="G27" s="1">
        <f>+C27-(C$7+F27*C$8)</f>
        <v>6.9104499998502433E-3</v>
      </c>
      <c r="H27" s="1"/>
      <c r="I27" s="1"/>
      <c r="J27" s="1"/>
      <c r="K27" s="1">
        <f>+G27</f>
        <v>6.9104499998502433E-3</v>
      </c>
      <c r="L27" s="1"/>
      <c r="M27" s="1"/>
      <c r="N27" s="1"/>
      <c r="O27" s="1">
        <f ca="1">+C$11+C$12*$F27</f>
        <v>6.4792166439626101E-3</v>
      </c>
      <c r="P27" s="1"/>
      <c r="Q27" s="60">
        <f>+C27-15018.5</f>
        <v>40587.358699999997</v>
      </c>
      <c r="R27" s="1"/>
      <c r="S27" s="1"/>
      <c r="T27" s="1"/>
      <c r="U27" s="1"/>
      <c r="V27" s="1"/>
      <c r="W27" s="1"/>
    </row>
    <row r="28" spans="1:23" ht="12.95" customHeight="1" x14ac:dyDescent="0.2">
      <c r="A28" s="31" t="s">
        <v>51</v>
      </c>
      <c r="B28" s="32" t="s">
        <v>47</v>
      </c>
      <c r="C28" s="31">
        <v>55650.385399999999</v>
      </c>
      <c r="D28" s="31">
        <v>2.2000000000000001E-3</v>
      </c>
      <c r="E28" s="1">
        <f>+(C28-C$7)/C$8</f>
        <v>-5394.9843160886257</v>
      </c>
      <c r="F28" s="1">
        <f>ROUND(2*E28,0)/2</f>
        <v>-5395</v>
      </c>
      <c r="G28" s="1">
        <f>+C28-(C$7+F28*C$8)</f>
        <v>6.4364999998360872E-3</v>
      </c>
      <c r="H28" s="1"/>
      <c r="I28" s="1"/>
      <c r="J28" s="1">
        <f>+G28</f>
        <v>6.4364999998360872E-3</v>
      </c>
      <c r="K28" s="1"/>
      <c r="L28" s="1"/>
      <c r="M28" s="1"/>
      <c r="N28" s="1"/>
      <c r="O28" s="1">
        <f ca="1">+C$11+C$12*$F28</f>
        <v>6.4319309953854154E-3</v>
      </c>
      <c r="P28" s="1"/>
      <c r="Q28" s="60">
        <f>+C28-15018.5</f>
        <v>40631.885399999999</v>
      </c>
      <c r="R28" s="1"/>
      <c r="S28" s="1"/>
      <c r="T28" s="1"/>
      <c r="U28" s="1"/>
      <c r="V28" s="1"/>
      <c r="W28" s="1"/>
    </row>
    <row r="29" spans="1:23" ht="12.95" customHeight="1" x14ac:dyDescent="0.2">
      <c r="A29" s="33" t="s">
        <v>52</v>
      </c>
      <c r="B29" s="30" t="s">
        <v>47</v>
      </c>
      <c r="C29" s="31">
        <v>55654.488230000003</v>
      </c>
      <c r="D29" s="31">
        <v>1E-4</v>
      </c>
      <c r="E29" s="1">
        <f>+(C29-C$7)/C$8</f>
        <v>-5384.9868916955966</v>
      </c>
      <c r="F29" s="1">
        <f>ROUND(2*E29,0)/2</f>
        <v>-5385</v>
      </c>
      <c r="G29" s="1">
        <f>+C29-(C$7+F29*C$8)</f>
        <v>5.379500005801674E-3</v>
      </c>
      <c r="H29" s="1"/>
      <c r="I29" s="1"/>
      <c r="J29" s="1"/>
      <c r="K29" s="1">
        <f>+G29</f>
        <v>5.379500005801674E-3</v>
      </c>
      <c r="L29" s="1"/>
      <c r="M29" s="1"/>
      <c r="N29" s="1"/>
      <c r="O29" s="1">
        <f ca="1">+C$11+C$12*$F29</f>
        <v>6.4275728710925864E-3</v>
      </c>
      <c r="P29" s="1"/>
      <c r="Q29" s="60">
        <f>+C29-15018.5</f>
        <v>40635.988230000003</v>
      </c>
      <c r="R29" s="1"/>
      <c r="S29" s="1"/>
      <c r="T29" s="1"/>
      <c r="U29" s="1"/>
      <c r="V29" s="1"/>
      <c r="W29" s="1"/>
    </row>
    <row r="30" spans="1:23" ht="12.95" customHeight="1" x14ac:dyDescent="0.2">
      <c r="A30" s="31" t="s">
        <v>50</v>
      </c>
      <c r="B30" s="32" t="s">
        <v>45</v>
      </c>
      <c r="C30" s="31">
        <v>55674.805</v>
      </c>
      <c r="D30" s="31">
        <v>8.9999999999999998E-4</v>
      </c>
      <c r="E30" s="1">
        <f>+(C30-C$7)/C$8</f>
        <v>-5335.4807283923737</v>
      </c>
      <c r="F30" s="1">
        <f>ROUND(2*E30,0)/2</f>
        <v>-5335.5</v>
      </c>
      <c r="G30" s="1">
        <f>+C30-(C$7+F30*C$8)</f>
        <v>7.9088499987847172E-3</v>
      </c>
      <c r="H30" s="1"/>
      <c r="I30" s="1"/>
      <c r="J30" s="1"/>
      <c r="K30" s="1">
        <f>+G30</f>
        <v>7.9088499987847172E-3</v>
      </c>
      <c r="L30" s="1"/>
      <c r="M30" s="1"/>
      <c r="N30" s="1"/>
      <c r="O30" s="1">
        <f ca="1">+C$11+C$12*$F30</f>
        <v>6.4060001558430835E-3</v>
      </c>
      <c r="P30" s="1"/>
      <c r="Q30" s="60">
        <f>+C30-15018.5</f>
        <v>40656.305</v>
      </c>
      <c r="R30" s="1"/>
      <c r="S30" s="1"/>
      <c r="T30" s="1"/>
      <c r="U30" s="1"/>
      <c r="V30" s="1"/>
      <c r="W30" s="1"/>
    </row>
    <row r="31" spans="1:23" ht="12.95" customHeight="1" x14ac:dyDescent="0.2">
      <c r="A31" s="34" t="s">
        <v>53</v>
      </c>
      <c r="B31" s="35"/>
      <c r="C31" s="31">
        <v>55938.885199999997</v>
      </c>
      <c r="D31" s="31">
        <v>1E-3</v>
      </c>
      <c r="E31" s="1">
        <f>+(C31-C$7)/C$8</f>
        <v>-4691.9927376168071</v>
      </c>
      <c r="F31" s="1">
        <f>ROUND(2*E31,0)/2</f>
        <v>-4692</v>
      </c>
      <c r="G31" s="1">
        <f>+C31-(C$7+F31*C$8)</f>
        <v>2.9804000005242415E-3</v>
      </c>
      <c r="H31" s="1"/>
      <c r="I31" s="1"/>
      <c r="J31" s="1"/>
      <c r="K31" s="1">
        <f>+G31</f>
        <v>2.9804000005242415E-3</v>
      </c>
      <c r="L31" s="1"/>
      <c r="M31" s="1"/>
      <c r="N31" s="1"/>
      <c r="O31" s="1">
        <f ca="1">+C$11+C$12*$F31</f>
        <v>6.1255548575995375E-3</v>
      </c>
      <c r="P31" s="1"/>
      <c r="Q31" s="60">
        <f>+C31-15018.5</f>
        <v>40920.385199999997</v>
      </c>
      <c r="R31" s="1"/>
      <c r="S31" s="1"/>
      <c r="T31" s="1"/>
      <c r="U31" s="1"/>
      <c r="V31" s="1"/>
      <c r="W31" s="1"/>
    </row>
    <row r="32" spans="1:23" ht="12.95" customHeight="1" x14ac:dyDescent="0.2">
      <c r="A32" s="29" t="s">
        <v>54</v>
      </c>
      <c r="B32" s="30" t="s">
        <v>45</v>
      </c>
      <c r="C32" s="31">
        <v>55971.918100000003</v>
      </c>
      <c r="D32" s="31">
        <v>1.9E-3</v>
      </c>
      <c r="E32" s="1">
        <f>+(C32-C$7)/C$8</f>
        <v>-4611.5009989310056</v>
      </c>
      <c r="F32" s="1">
        <f>ROUND(2*E32,0)/2</f>
        <v>-4611.5</v>
      </c>
      <c r="G32" s="1">
        <f>+C32-(C$7+F32*C$8)</f>
        <v>-4.0995000017574057E-4</v>
      </c>
      <c r="H32" s="1"/>
      <c r="I32" s="1"/>
      <c r="J32" s="1"/>
      <c r="K32" s="1">
        <f>+G32</f>
        <v>-4.0995000017574057E-4</v>
      </c>
      <c r="L32" s="1"/>
      <c r="M32" s="1"/>
      <c r="N32" s="1"/>
      <c r="O32" s="1">
        <f ca="1">+C$11+C$12*$F32</f>
        <v>6.0904719570422632E-3</v>
      </c>
      <c r="P32" s="1"/>
      <c r="Q32" s="60">
        <f>+C32-15018.5</f>
        <v>40953.418100000003</v>
      </c>
      <c r="R32" s="1"/>
      <c r="S32" s="1"/>
      <c r="T32" s="1"/>
      <c r="U32" s="1"/>
      <c r="V32" s="1"/>
      <c r="W32" s="1"/>
    </row>
    <row r="33" spans="1:23" ht="12.95" customHeight="1" x14ac:dyDescent="0.2">
      <c r="A33" s="36" t="s">
        <v>55</v>
      </c>
      <c r="B33" s="37" t="s">
        <v>45</v>
      </c>
      <c r="C33" s="83">
        <v>55983.413999999997</v>
      </c>
      <c r="D33" s="5"/>
      <c r="E33" s="1">
        <f>+(C33-C$7)/C$8</f>
        <v>-4583.4887753975745</v>
      </c>
      <c r="F33" s="1">
        <f>ROUND(2*E33,0)/2</f>
        <v>-4583.5</v>
      </c>
      <c r="G33" s="1">
        <f>+C33-(C$7+F33*C$8)</f>
        <v>4.6064499983913265E-3</v>
      </c>
      <c r="H33" s="1"/>
      <c r="I33" s="1"/>
      <c r="J33" s="1"/>
      <c r="K33" s="1">
        <f>+G33</f>
        <v>4.6064499983913265E-3</v>
      </c>
      <c r="L33" s="1"/>
      <c r="M33" s="1"/>
      <c r="N33" s="1"/>
      <c r="O33" s="1">
        <f ca="1">+C$11+C$12*$F33</f>
        <v>6.0782692090223427E-3</v>
      </c>
      <c r="P33" s="1"/>
      <c r="Q33" s="60">
        <f>+C33-15018.5</f>
        <v>40964.913999999997</v>
      </c>
      <c r="R33" s="1"/>
      <c r="S33" s="1"/>
      <c r="T33" s="1"/>
      <c r="U33" s="1"/>
      <c r="V33" s="1"/>
      <c r="W33" s="1"/>
    </row>
    <row r="34" spans="1:23" ht="12.95" customHeight="1" x14ac:dyDescent="0.2">
      <c r="A34" s="29" t="s">
        <v>56</v>
      </c>
      <c r="B34" s="30" t="s">
        <v>45</v>
      </c>
      <c r="C34" s="31">
        <v>56008.448600000003</v>
      </c>
      <c r="D34" s="31">
        <v>2.0000000000000001E-4</v>
      </c>
      <c r="E34" s="1">
        <f>+(C34-C$7)/C$8</f>
        <v>-4522.4866084275618</v>
      </c>
      <c r="F34" s="1">
        <f>ROUND(2*E34,0)/2</f>
        <v>-4522.5</v>
      </c>
      <c r="G34" s="1">
        <f>+C34-(C$7+F34*C$8)</f>
        <v>5.4957500033196993E-3</v>
      </c>
      <c r="H34" s="1"/>
      <c r="I34" s="1"/>
      <c r="J34" s="1">
        <f>+G34</f>
        <v>5.4957500033196993E-3</v>
      </c>
      <c r="K34" s="1"/>
      <c r="L34" s="1"/>
      <c r="M34" s="1"/>
      <c r="N34" s="1"/>
      <c r="O34" s="1">
        <f ca="1">+C$11+C$12*$F34</f>
        <v>6.0516846508360863E-3</v>
      </c>
      <c r="P34" s="1"/>
      <c r="Q34" s="60">
        <f>+C34-15018.5</f>
        <v>40989.948600000003</v>
      </c>
      <c r="R34" s="1"/>
      <c r="S34" s="1"/>
      <c r="T34" s="1"/>
      <c r="U34" s="1"/>
      <c r="V34" s="1"/>
      <c r="W34" s="1"/>
    </row>
    <row r="35" spans="1:23" ht="12.95" customHeight="1" x14ac:dyDescent="0.2">
      <c r="A35" s="29" t="s">
        <v>56</v>
      </c>
      <c r="B35" s="30" t="s">
        <v>45</v>
      </c>
      <c r="C35" s="31">
        <v>56008.652300000002</v>
      </c>
      <c r="D35" s="31">
        <v>2.9999999999999997E-4</v>
      </c>
      <c r="E35" s="1">
        <f>+(C35-C$7)/C$8</f>
        <v>-4521.9902497315297</v>
      </c>
      <c r="F35" s="1">
        <f>ROUND(2*E35,0)/2</f>
        <v>-4522</v>
      </c>
      <c r="G35" s="1">
        <f>+C35-(C$7+F35*C$8)</f>
        <v>4.0014000041992404E-3</v>
      </c>
      <c r="H35" s="1"/>
      <c r="I35" s="1"/>
      <c r="J35" s="1">
        <f>+G35</f>
        <v>4.0014000041992404E-3</v>
      </c>
      <c r="K35" s="1"/>
      <c r="L35" s="1"/>
      <c r="M35" s="1"/>
      <c r="N35" s="1"/>
      <c r="O35" s="1">
        <f ca="1">+C$11+C$12*$F35</f>
        <v>6.0514667446214445E-3</v>
      </c>
      <c r="P35" s="1"/>
      <c r="Q35" s="60">
        <f>+C35-15018.5</f>
        <v>40990.152300000002</v>
      </c>
      <c r="R35" s="1"/>
      <c r="S35" s="1"/>
      <c r="T35" s="1"/>
      <c r="U35" s="1"/>
      <c r="V35" s="1"/>
      <c r="W35" s="1"/>
    </row>
    <row r="36" spans="1:23" ht="12.95" customHeight="1" x14ac:dyDescent="0.2">
      <c r="A36" s="33" t="s">
        <v>57</v>
      </c>
      <c r="B36" s="30" t="s">
        <v>47</v>
      </c>
      <c r="C36" s="31">
        <v>56009.474900000001</v>
      </c>
      <c r="D36" s="31">
        <v>2.8999999999999998E-3</v>
      </c>
      <c r="E36" s="1">
        <f>+(C36-C$7)/C$8</f>
        <v>-4519.9858085761098</v>
      </c>
      <c r="F36" s="1">
        <f>ROUND(2*E36,0)/2</f>
        <v>-4520</v>
      </c>
      <c r="G36" s="1">
        <f>+C36-(C$7+F36*C$8)</f>
        <v>5.8239999998477288E-3</v>
      </c>
      <c r="H36" s="1"/>
      <c r="I36" s="1"/>
      <c r="J36" s="1">
        <f>+G36</f>
        <v>5.8239999998477288E-3</v>
      </c>
      <c r="K36" s="1"/>
      <c r="L36" s="1"/>
      <c r="M36" s="1"/>
      <c r="N36" s="1"/>
      <c r="O36" s="1">
        <f ca="1">+C$11+C$12*$F36</f>
        <v>6.0505951197628791E-3</v>
      </c>
      <c r="P36" s="1"/>
      <c r="Q36" s="60">
        <f>+C36-15018.5</f>
        <v>40990.974900000001</v>
      </c>
      <c r="R36" s="1"/>
      <c r="S36" s="1"/>
      <c r="T36" s="1"/>
      <c r="U36" s="1"/>
      <c r="V36" s="1"/>
      <c r="W36" s="1"/>
    </row>
    <row r="37" spans="1:23" ht="12.95" customHeight="1" x14ac:dyDescent="0.2">
      <c r="A37" s="29" t="s">
        <v>54</v>
      </c>
      <c r="B37" s="30" t="s">
        <v>45</v>
      </c>
      <c r="C37" s="31">
        <v>56034.709900000002</v>
      </c>
      <c r="D37" s="31">
        <v>4.0000000000000002E-4</v>
      </c>
      <c r="E37" s="1">
        <f>+(C37-C$7)/C$8</f>
        <v>-4458.4953240671539</v>
      </c>
      <c r="F37" s="1">
        <f>ROUND(2*E37,0)/2</f>
        <v>-4458.5</v>
      </c>
      <c r="G37" s="1">
        <f>+C37-(C$7+F37*C$8)</f>
        <v>1.9189500017091632E-3</v>
      </c>
      <c r="H37" s="1"/>
      <c r="I37" s="1"/>
      <c r="J37" s="1"/>
      <c r="K37" s="1">
        <f>+G37</f>
        <v>1.9189500017091632E-3</v>
      </c>
      <c r="L37" s="1"/>
      <c r="M37" s="1"/>
      <c r="N37" s="1"/>
      <c r="O37" s="1">
        <f ca="1">+C$11+C$12*$F37</f>
        <v>6.02379265536198E-3</v>
      </c>
      <c r="P37" s="1"/>
      <c r="Q37" s="60">
        <f>+C37-15018.5</f>
        <v>41016.209900000002</v>
      </c>
      <c r="R37" s="1"/>
      <c r="S37" s="1"/>
      <c r="T37" s="1"/>
      <c r="U37" s="1"/>
      <c r="V37" s="1"/>
      <c r="W37" s="1"/>
    </row>
    <row r="38" spans="1:23" ht="12.95" customHeight="1" x14ac:dyDescent="0.2">
      <c r="A38" s="39" t="s">
        <v>58</v>
      </c>
      <c r="B38" s="40" t="s">
        <v>45</v>
      </c>
      <c r="C38" s="31">
        <v>56408.375</v>
      </c>
      <c r="D38" s="84">
        <v>5.0000000000000001E-4</v>
      </c>
      <c r="E38" s="1">
        <f>+(C38-C$7)/C$8</f>
        <v>-3547.9802440954136</v>
      </c>
      <c r="F38" s="1">
        <f>ROUND(2*E38,0)/2</f>
        <v>-3548</v>
      </c>
      <c r="G38" s="1">
        <f>+C38-(C$7+F38*C$8)</f>
        <v>8.1075999987660907E-3</v>
      </c>
      <c r="H38" s="1"/>
      <c r="I38" s="1"/>
      <c r="J38" s="1">
        <f>+G38</f>
        <v>8.1075999987660907E-3</v>
      </c>
      <c r="K38" s="1"/>
      <c r="L38" s="1"/>
      <c r="M38" s="1"/>
      <c r="N38" s="1"/>
      <c r="O38" s="1">
        <f ca="1">+C$11+C$12*$F38</f>
        <v>5.6269854384998997E-3</v>
      </c>
      <c r="P38" s="1"/>
      <c r="Q38" s="60">
        <f>+C38-15018.5</f>
        <v>41389.875</v>
      </c>
      <c r="R38" s="1"/>
      <c r="S38" s="1"/>
      <c r="T38" s="1"/>
      <c r="U38" s="1"/>
      <c r="V38" s="1"/>
      <c r="W38" s="1"/>
    </row>
    <row r="39" spans="1:23" ht="12.95" customHeight="1" x14ac:dyDescent="0.2">
      <c r="A39" s="39" t="s">
        <v>58</v>
      </c>
      <c r="B39" s="40" t="s">
        <v>45</v>
      </c>
      <c r="C39" s="31">
        <v>56408.576300000001</v>
      </c>
      <c r="D39" s="84">
        <v>2.0000000000000001E-4</v>
      </c>
      <c r="E39" s="1">
        <f>+(C39-C$7)/C$8</f>
        <v>-3547.4897335136147</v>
      </c>
      <c r="F39" s="1">
        <f>ROUND(2*E39,0)/2</f>
        <v>-3547.5</v>
      </c>
      <c r="G39" s="1">
        <f>+C39-(C$7+F39*C$8)</f>
        <v>4.2132500020670705E-3</v>
      </c>
      <c r="H39" s="1"/>
      <c r="I39" s="1"/>
      <c r="J39" s="1">
        <f>+G39</f>
        <v>4.2132500020670705E-3</v>
      </c>
      <c r="K39" s="1"/>
      <c r="L39" s="1"/>
      <c r="M39" s="1"/>
      <c r="N39" s="1"/>
      <c r="O39" s="1">
        <f ca="1">+C$11+C$12*$F39</f>
        <v>5.6267675322852588E-3</v>
      </c>
      <c r="P39" s="1"/>
      <c r="Q39" s="60">
        <f>+C39-15018.5</f>
        <v>41390.076300000001</v>
      </c>
      <c r="R39" s="1"/>
      <c r="S39" s="1"/>
      <c r="T39" s="1"/>
      <c r="U39" s="1"/>
      <c r="V39" s="1"/>
      <c r="W39" s="1"/>
    </row>
    <row r="40" spans="1:23" ht="12.95" customHeight="1" x14ac:dyDescent="0.2">
      <c r="A40" s="42" t="s">
        <v>59</v>
      </c>
      <c r="B40" s="43" t="s">
        <v>47</v>
      </c>
      <c r="C40" s="77">
        <v>57125.31882</v>
      </c>
      <c r="D40" s="77">
        <v>1E-4</v>
      </c>
      <c r="E40" s="35">
        <f>+(C40-C$7)/C$8</f>
        <v>-1800.9930097977822</v>
      </c>
      <c r="F40" s="1">
        <f>ROUND(2*E40,0)/2</f>
        <v>-1801</v>
      </c>
      <c r="G40" s="1">
        <f>+C40-(C$7+F40*C$8)</f>
        <v>2.8687000012723729E-3</v>
      </c>
      <c r="H40" s="1"/>
      <c r="I40" s="1"/>
      <c r="J40" s="1"/>
      <c r="K40" s="1">
        <f>+G40</f>
        <v>2.8687000012723729E-3</v>
      </c>
      <c r="L40" s="1"/>
      <c r="M40" s="1"/>
      <c r="N40" s="1"/>
      <c r="O40" s="1">
        <f ca="1">+C$11+C$12*$F40</f>
        <v>4.8656211245426736E-3</v>
      </c>
      <c r="P40" s="1"/>
      <c r="Q40" s="60">
        <f>+C40-15018.5</f>
        <v>42106.81882</v>
      </c>
      <c r="R40" s="1"/>
      <c r="S40" s="1"/>
      <c r="T40" s="1"/>
      <c r="U40" s="1"/>
      <c r="V40" s="1"/>
      <c r="W40" s="1"/>
    </row>
    <row r="41" spans="1:23" ht="12.95" customHeight="1" x14ac:dyDescent="0.2">
      <c r="A41" s="42" t="s">
        <v>59</v>
      </c>
      <c r="B41" s="43" t="s">
        <v>45</v>
      </c>
      <c r="C41" s="77">
        <v>57414.439590000002</v>
      </c>
      <c r="D41" s="77">
        <v>2.0000000000000001E-4</v>
      </c>
      <c r="E41" s="35">
        <f>+(C41-C$7)/C$8</f>
        <v>-1096.4883048680379</v>
      </c>
      <c r="F41" s="1">
        <f>ROUND(2*E41,0)/2</f>
        <v>-1096.5</v>
      </c>
      <c r="G41" s="1">
        <f>+C41-(C$7+F41*C$8)</f>
        <v>4.7995499990065582E-3</v>
      </c>
      <c r="H41" s="1"/>
      <c r="I41" s="1"/>
      <c r="J41" s="1"/>
      <c r="K41" s="1">
        <f>+G41</f>
        <v>4.7995499990065582E-3</v>
      </c>
      <c r="L41" s="1"/>
      <c r="M41" s="1"/>
      <c r="N41" s="1"/>
      <c r="O41" s="1">
        <f ca="1">+C$11+C$12*$F41</f>
        <v>4.5585912681128703E-3</v>
      </c>
      <c r="P41" s="1"/>
      <c r="Q41" s="60">
        <f>+C41-15018.5</f>
        <v>42395.939590000002</v>
      </c>
      <c r="R41" s="1"/>
      <c r="S41" s="1"/>
      <c r="T41" s="1"/>
      <c r="U41" s="1"/>
      <c r="V41" s="1"/>
      <c r="W41" s="1"/>
    </row>
    <row r="42" spans="1:23" ht="12.95" customHeight="1" x14ac:dyDescent="0.2">
      <c r="A42" s="44" t="s">
        <v>60</v>
      </c>
      <c r="B42" s="45" t="s">
        <v>47</v>
      </c>
      <c r="C42" s="78">
        <v>57753.623099999997</v>
      </c>
      <c r="D42" s="78">
        <v>2.0000000000000001E-4</v>
      </c>
      <c r="E42" s="35">
        <f>+(C42-C$7)/C$8</f>
        <v>-269.99500717247435</v>
      </c>
      <c r="F42" s="1">
        <f>ROUND(2*E42,0)/2</f>
        <v>-270</v>
      </c>
      <c r="G42" s="1">
        <f>+C42-(C$7+F42*C$8)</f>
        <v>2.0489999951678328E-3</v>
      </c>
      <c r="H42" s="1"/>
      <c r="I42" s="1"/>
      <c r="J42" s="1"/>
      <c r="K42" s="1">
        <f>+G42</f>
        <v>2.0489999951678328E-3</v>
      </c>
      <c r="L42" s="1"/>
      <c r="M42" s="1"/>
      <c r="N42" s="1"/>
      <c r="O42" s="1">
        <f ca="1">+C$11+C$12*$F42</f>
        <v>4.1983922953105542E-3</v>
      </c>
      <c r="P42" s="1"/>
      <c r="Q42" s="60">
        <f>+C42-15018.5</f>
        <v>42735.123099999997</v>
      </c>
      <c r="R42" s="1"/>
      <c r="S42" s="1"/>
      <c r="T42" s="1"/>
      <c r="U42" s="1"/>
      <c r="V42" s="1"/>
      <c r="W42" s="1"/>
    </row>
    <row r="43" spans="1:23" ht="12.95" customHeight="1" x14ac:dyDescent="0.2">
      <c r="A43" s="61" t="s">
        <v>167</v>
      </c>
      <c r="B43" s="1"/>
      <c r="C43" s="5">
        <v>57864.425999999999</v>
      </c>
      <c r="D43" s="5"/>
      <c r="E43" s="35">
        <f>+(C43-C$7)/C$8</f>
        <v>0</v>
      </c>
      <c r="F43" s="1">
        <f>ROUND(2*E43,0)/2</f>
        <v>0</v>
      </c>
      <c r="G43" s="1">
        <f>+C43-(C$7+F43*C$8)</f>
        <v>0</v>
      </c>
      <c r="H43" s="1"/>
      <c r="I43" s="1">
        <f>+G43</f>
        <v>0</v>
      </c>
      <c r="J43" s="1"/>
      <c r="K43" s="1"/>
      <c r="L43" s="1"/>
      <c r="M43" s="1"/>
      <c r="N43" s="1"/>
      <c r="O43" s="1">
        <f ca="1">+C$11+C$12*$F43</f>
        <v>4.0807229394041709E-3</v>
      </c>
      <c r="P43" s="1"/>
      <c r="Q43" s="60">
        <f>+C43-15018.5</f>
        <v>42845.925999999999</v>
      </c>
      <c r="R43" s="1"/>
      <c r="S43" s="1"/>
      <c r="T43" s="1"/>
      <c r="U43" s="1"/>
      <c r="V43" s="1"/>
      <c r="W43" s="1"/>
    </row>
    <row r="44" spans="1:23" ht="12.95" customHeight="1" x14ac:dyDescent="0.2">
      <c r="A44" s="46" t="s">
        <v>61</v>
      </c>
      <c r="B44" s="47" t="s">
        <v>47</v>
      </c>
      <c r="C44" s="79">
        <v>57864.428129999898</v>
      </c>
      <c r="D44" s="79">
        <v>8.9999999999999998E-4</v>
      </c>
      <c r="E44" s="35">
        <f>+(C44-C$7)/C$8</f>
        <v>5.1902011407671551E-3</v>
      </c>
      <c r="F44" s="1">
        <f>ROUND(2*E44,0)/2</f>
        <v>0</v>
      </c>
      <c r="G44" s="1">
        <f>+C44-(C$7+F44*C$8)</f>
        <v>2.1299998988979496E-3</v>
      </c>
      <c r="H44" s="1"/>
      <c r="I44" s="1"/>
      <c r="J44" s="1"/>
      <c r="K44" s="1">
        <f>+G44</f>
        <v>2.1299998988979496E-3</v>
      </c>
      <c r="L44" s="1"/>
      <c r="M44" s="1"/>
      <c r="N44" s="1"/>
      <c r="O44" s="1">
        <f ca="1">+C$11+C$12*$F44</f>
        <v>4.0807229394041709E-3</v>
      </c>
      <c r="P44" s="1"/>
      <c r="Q44" s="60">
        <f>+C44-15018.5</f>
        <v>42845.928129999898</v>
      </c>
      <c r="R44" s="1"/>
      <c r="S44" s="1"/>
      <c r="T44" s="1"/>
      <c r="U44" s="1"/>
      <c r="V44" s="1"/>
      <c r="W44" s="1"/>
    </row>
    <row r="45" spans="1:23" ht="12.95" customHeight="1" x14ac:dyDescent="0.2">
      <c r="A45" s="61" t="s">
        <v>161</v>
      </c>
      <c r="B45" s="62" t="s">
        <v>47</v>
      </c>
      <c r="C45" s="76">
        <v>59922.324599999934</v>
      </c>
      <c r="D45" s="5"/>
      <c r="E45" s="35">
        <f>+(C45-C$7)/C$8</f>
        <v>5014.5108771268187</v>
      </c>
      <c r="F45" s="1">
        <f>ROUND(2*E45,0)/2</f>
        <v>5014.5</v>
      </c>
      <c r="G45" s="1">
        <f>+C45-(C$7+F45*C$8)</f>
        <v>4.4638499384745955E-3</v>
      </c>
      <c r="H45" s="1"/>
      <c r="I45" s="1"/>
      <c r="J45" s="1"/>
      <c r="K45" s="1">
        <f>+G45</f>
        <v>4.4638499384745955E-3</v>
      </c>
      <c r="L45" s="1"/>
      <c r="M45" s="1"/>
      <c r="N45" s="1"/>
      <c r="O45" s="1">
        <f ca="1">+C$11+C$12*$F45</f>
        <v>1.8953415127650692E-3</v>
      </c>
      <c r="P45" s="1"/>
      <c r="Q45" s="60">
        <f>+C45-15018.5</f>
        <v>44903.824599999934</v>
      </c>
      <c r="R45" s="1"/>
      <c r="S45" s="1"/>
      <c r="T45" s="1"/>
      <c r="U45" s="1"/>
      <c r="V45" s="1"/>
      <c r="W45" s="1"/>
    </row>
    <row r="46" spans="1:23" ht="12.95" customHeight="1" x14ac:dyDescent="0.2">
      <c r="A46" s="61" t="s">
        <v>161</v>
      </c>
      <c r="B46" s="62" t="s">
        <v>47</v>
      </c>
      <c r="C46" s="76">
        <v>59922.32489999989</v>
      </c>
      <c r="D46" s="5"/>
      <c r="E46" s="35">
        <f>+(C46-C$7)/C$8</f>
        <v>5014.5116081409915</v>
      </c>
      <c r="F46" s="1">
        <f>ROUND(2*E46,0)/2</f>
        <v>5014.5</v>
      </c>
      <c r="G46" s="1">
        <f>+C46-(C$7+F46*C$8)</f>
        <v>4.76384989451617E-3</v>
      </c>
      <c r="H46" s="1"/>
      <c r="I46" s="1"/>
      <c r="J46" s="1"/>
      <c r="K46" s="1">
        <f>+G46</f>
        <v>4.76384989451617E-3</v>
      </c>
      <c r="L46" s="1"/>
      <c r="M46" s="1"/>
      <c r="N46" s="1"/>
      <c r="O46" s="1">
        <f ca="1">+C$11+C$12*$F46</f>
        <v>1.8953415127650692E-3</v>
      </c>
      <c r="P46" s="1"/>
      <c r="Q46" s="60">
        <f>+C46-15018.5</f>
        <v>44903.82489999989</v>
      </c>
      <c r="R46" s="1"/>
      <c r="S46" s="1"/>
      <c r="T46" s="1"/>
      <c r="U46" s="1"/>
      <c r="V46" s="1"/>
      <c r="W46" s="1"/>
    </row>
    <row r="47" spans="1:23" ht="12.95" customHeight="1" x14ac:dyDescent="0.2">
      <c r="A47" s="61" t="s">
        <v>161</v>
      </c>
      <c r="B47" s="62" t="s">
        <v>45</v>
      </c>
      <c r="C47" s="76">
        <v>59923.347899999935</v>
      </c>
      <c r="D47" s="5"/>
      <c r="E47" s="35">
        <f>+(C47-C$7)/C$8</f>
        <v>5017.0043668354801</v>
      </c>
      <c r="F47" s="1">
        <f>ROUND(2*E47,0)/2</f>
        <v>5017</v>
      </c>
      <c r="G47" s="1">
        <f>+C47-(C$7+F47*C$8)</f>
        <v>1.7920999380294234E-3</v>
      </c>
      <c r="H47" s="1"/>
      <c r="I47" s="1"/>
      <c r="J47" s="1"/>
      <c r="K47" s="1">
        <f>+G47</f>
        <v>1.7920999380294234E-3</v>
      </c>
      <c r="L47" s="1"/>
      <c r="M47" s="1"/>
      <c r="N47" s="1"/>
      <c r="O47" s="1">
        <f ca="1">+C$11+C$12*$F47</f>
        <v>1.8942519816918619E-3</v>
      </c>
      <c r="P47" s="1"/>
      <c r="Q47" s="60">
        <f>+C47-15018.5</f>
        <v>44904.847899999935</v>
      </c>
      <c r="R47" s="1"/>
      <c r="S47" s="1"/>
      <c r="T47" s="1"/>
      <c r="U47" s="1"/>
      <c r="V47" s="1"/>
      <c r="W47" s="1"/>
    </row>
    <row r="48" spans="1:23" ht="12.95" customHeight="1" x14ac:dyDescent="0.2">
      <c r="A48" s="61" t="s">
        <v>161</v>
      </c>
      <c r="B48" s="62" t="s">
        <v>45</v>
      </c>
      <c r="C48" s="76">
        <v>59923.348000000231</v>
      </c>
      <c r="D48" s="5"/>
      <c r="E48" s="35">
        <f>+(C48-C$7)/C$8</f>
        <v>5017.0046105076271</v>
      </c>
      <c r="F48" s="1">
        <f>ROUND(2*E48,0)/2</f>
        <v>5017</v>
      </c>
      <c r="G48" s="1">
        <f>+C48-(C$7+F48*C$8)</f>
        <v>1.8921002338174731E-3</v>
      </c>
      <c r="H48" s="1"/>
      <c r="I48" s="1"/>
      <c r="J48" s="1"/>
      <c r="K48" s="1">
        <f>+G48</f>
        <v>1.8921002338174731E-3</v>
      </c>
      <c r="L48" s="1"/>
      <c r="M48" s="1"/>
      <c r="N48" s="1"/>
      <c r="O48" s="1">
        <f ca="1">+C$11+C$12*$F48</f>
        <v>1.8942519816918619E-3</v>
      </c>
      <c r="P48" s="1"/>
      <c r="Q48" s="60">
        <f>+C48-15018.5</f>
        <v>44904.848000000231</v>
      </c>
      <c r="R48" s="1"/>
      <c r="S48" s="1"/>
      <c r="T48" s="1"/>
      <c r="U48" s="1"/>
      <c r="V48" s="1"/>
      <c r="W48" s="1"/>
    </row>
    <row r="49" spans="1:23" ht="12.95" customHeight="1" x14ac:dyDescent="0.2">
      <c r="A49" s="64" t="s">
        <v>162</v>
      </c>
      <c r="B49" s="65" t="s">
        <v>47</v>
      </c>
      <c r="C49" s="66">
        <v>60037.028969999999</v>
      </c>
      <c r="D49" s="66">
        <v>6.0000000000000002E-5</v>
      </c>
      <c r="E49" s="35">
        <f>+(C49-C$7)/C$8</f>
        <v>5294.0126519078131</v>
      </c>
      <c r="F49" s="1">
        <f>ROUND(2*E49,0)/2</f>
        <v>5294</v>
      </c>
      <c r="G49" s="1">
        <f>+C49-(C$7+F49*C$8)</f>
        <v>5.1921999984188005E-3</v>
      </c>
      <c r="H49" s="1"/>
      <c r="I49" s="1"/>
      <c r="J49" s="1"/>
      <c r="K49" s="1">
        <f>+G49</f>
        <v>5.1921999984188005E-3</v>
      </c>
      <c r="L49" s="1"/>
      <c r="M49" s="1"/>
      <c r="N49" s="1"/>
      <c r="O49" s="1">
        <f ca="1">+C$11+C$12*$F49</f>
        <v>1.7735319387804987E-3</v>
      </c>
      <c r="P49" s="1"/>
      <c r="Q49" s="60">
        <f>+C49-15018.5</f>
        <v>45018.528969999999</v>
      </c>
      <c r="R49" s="1"/>
      <c r="S49" s="1"/>
      <c r="T49" s="1"/>
      <c r="U49" s="1"/>
      <c r="V49" s="1"/>
      <c r="W49" s="1"/>
    </row>
    <row r="50" spans="1:23" ht="12.95" customHeight="1" x14ac:dyDescent="0.2">
      <c r="A50" s="1"/>
      <c r="B50" s="1"/>
      <c r="C50" s="5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95" customHeight="1" x14ac:dyDescent="0.2">
      <c r="A51" s="1"/>
      <c r="B51" s="1"/>
      <c r="C51" s="5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95" customHeight="1" x14ac:dyDescent="0.2">
      <c r="A52" s="1"/>
      <c r="B52" s="1"/>
      <c r="C52" s="5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95" customHeight="1" x14ac:dyDescent="0.2">
      <c r="A53" s="1"/>
      <c r="B53" s="1"/>
      <c r="C53" s="5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95" customHeight="1" x14ac:dyDescent="0.2">
      <c r="A54" s="1"/>
      <c r="B54" s="1"/>
      <c r="C54" s="5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95" customHeight="1" x14ac:dyDescent="0.2">
      <c r="A55" s="1"/>
      <c r="B55" s="1"/>
      <c r="C55" s="5"/>
      <c r="D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95" customHeight="1" x14ac:dyDescent="0.2">
      <c r="A56" s="1"/>
      <c r="B56" s="1"/>
      <c r="C56" s="5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95" customHeight="1" x14ac:dyDescent="0.2">
      <c r="A57" s="1"/>
      <c r="B57" s="1"/>
      <c r="C57" s="5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95" customHeight="1" x14ac:dyDescent="0.2">
      <c r="A58" s="1"/>
      <c r="B58" s="1"/>
      <c r="C58" s="5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95" customHeight="1" x14ac:dyDescent="0.2">
      <c r="A59" s="1"/>
      <c r="B59" s="1"/>
      <c r="C59" s="5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95" customHeight="1" x14ac:dyDescent="0.2">
      <c r="A60" s="1"/>
      <c r="B60" s="1"/>
      <c r="C60" s="5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95" customHeight="1" x14ac:dyDescent="0.2">
      <c r="A61" s="1"/>
      <c r="B61" s="1"/>
      <c r="C61" s="5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95" customHeight="1" x14ac:dyDescent="0.2">
      <c r="A62" s="1"/>
      <c r="B62" s="1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95" customHeight="1" x14ac:dyDescent="0.2">
      <c r="A63" s="1"/>
      <c r="B63" s="1"/>
      <c r="C63" s="5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95" customHeight="1" x14ac:dyDescent="0.2">
      <c r="A64" s="1"/>
      <c r="B64" s="1"/>
      <c r="C64" s="5"/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95" customHeight="1" x14ac:dyDescent="0.2">
      <c r="A65" s="1"/>
      <c r="B65" s="1"/>
      <c r="C65" s="5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95" customHeight="1" x14ac:dyDescent="0.2">
      <c r="A66" s="1"/>
      <c r="B66" s="1"/>
      <c r="C66" s="5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95" customHeight="1" x14ac:dyDescent="0.2">
      <c r="A67" s="1"/>
      <c r="B67" s="1"/>
      <c r="C67" s="5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95" customHeight="1" x14ac:dyDescent="0.2">
      <c r="A68" s="1"/>
      <c r="B68" s="1"/>
      <c r="C68" s="5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topLeftCell="A5" workbookViewId="0">
      <selection activeCell="A27" sqref="A27"/>
    </sheetView>
  </sheetViews>
  <sheetFormatPr defaultRowHeight="12.75" x14ac:dyDescent="0.2"/>
  <cols>
    <col min="1" max="1" width="19.7109375" style="8" customWidth="1"/>
    <col min="2" max="2" width="4.42578125" customWidth="1"/>
    <col min="3" max="3" width="12.7109375" style="8" customWidth="1"/>
    <col min="4" max="4" width="5.42578125" customWidth="1"/>
    <col min="5" max="5" width="14.85546875" customWidth="1"/>
    <col min="7" max="7" width="12" customWidth="1"/>
    <col min="8" max="8" width="14.140625" style="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62</v>
      </c>
      <c r="I1" s="49" t="s">
        <v>63</v>
      </c>
      <c r="J1" s="50" t="s">
        <v>36</v>
      </c>
    </row>
    <row r="2" spans="1:16" x14ac:dyDescent="0.2">
      <c r="I2" s="51" t="s">
        <v>64</v>
      </c>
      <c r="J2" s="52" t="s">
        <v>35</v>
      </c>
    </row>
    <row r="3" spans="1:16" x14ac:dyDescent="0.2">
      <c r="A3" s="53" t="s">
        <v>65</v>
      </c>
      <c r="I3" s="51" t="s">
        <v>66</v>
      </c>
      <c r="J3" s="52" t="s">
        <v>33</v>
      </c>
    </row>
    <row r="4" spans="1:16" x14ac:dyDescent="0.2">
      <c r="I4" s="51" t="s">
        <v>67</v>
      </c>
      <c r="J4" s="52" t="s">
        <v>33</v>
      </c>
    </row>
    <row r="5" spans="1:16" x14ac:dyDescent="0.2">
      <c r="I5" s="54" t="s">
        <v>68</v>
      </c>
      <c r="J5" s="55" t="s">
        <v>34</v>
      </c>
    </row>
    <row r="11" spans="1:16" ht="12.75" customHeight="1" x14ac:dyDescent="0.2">
      <c r="A11" s="8" t="str">
        <f t="shared" ref="A11:A28" si="0">P11</f>
        <v>IBVS 5894 </v>
      </c>
      <c r="B11" s="22" t="str">
        <f t="shared" ref="B11:B28" si="1">IF(H11=INT(H11),"I","II")</f>
        <v>I</v>
      </c>
      <c r="C11" s="8">
        <f t="shared" ref="C11:C28" si="2">1*G11</f>
        <v>54865.931700000001</v>
      </c>
      <c r="D11" t="str">
        <f t="shared" ref="D11:D28" si="3">VLOOKUP(F11,I$1:J$5,2,FALSE)</f>
        <v>vis</v>
      </c>
      <c r="E11">
        <f>VLOOKUP(C11,'Active 1'!C$21:E$972,3,FALSE)</f>
        <v>8046.0775761238292</v>
      </c>
      <c r="F11" s="22" t="s">
        <v>68</v>
      </c>
      <c r="G11" t="str">
        <f t="shared" ref="G11:G28" si="4">MID(I11,3,LEN(I11)-3)</f>
        <v>54865.9317</v>
      </c>
      <c r="H11" s="8">
        <f t="shared" ref="H11:H28" si="5">1*K11</f>
        <v>8046</v>
      </c>
      <c r="I11" s="56" t="s">
        <v>69</v>
      </c>
      <c r="J11" s="57" t="s">
        <v>70</v>
      </c>
      <c r="K11" s="56">
        <v>8046</v>
      </c>
      <c r="L11" s="56" t="s">
        <v>71</v>
      </c>
      <c r="M11" s="57" t="s">
        <v>72</v>
      </c>
      <c r="N11" s="57" t="s">
        <v>68</v>
      </c>
      <c r="O11" s="58" t="s">
        <v>73</v>
      </c>
      <c r="P11" s="59" t="s">
        <v>74</v>
      </c>
    </row>
    <row r="12" spans="1:16" ht="12.75" customHeight="1" x14ac:dyDescent="0.2">
      <c r="A12" s="8" t="str">
        <f t="shared" si="0"/>
        <v>BAVM 214 </v>
      </c>
      <c r="B12" s="22" t="str">
        <f t="shared" si="1"/>
        <v>II</v>
      </c>
      <c r="C12" s="8">
        <f t="shared" si="2"/>
        <v>54922.360399999998</v>
      </c>
      <c r="D12" t="str">
        <f t="shared" si="3"/>
        <v>vis</v>
      </c>
      <c r="E12">
        <f>VLOOKUP(C12,'Active 1'!C$21:E$972,3,FALSE)</f>
        <v>8183.5797691917769</v>
      </c>
      <c r="F12" s="22" t="s">
        <v>68</v>
      </c>
      <c r="G12" t="str">
        <f t="shared" si="4"/>
        <v>54922.3604</v>
      </c>
      <c r="H12" s="8">
        <f t="shared" si="5"/>
        <v>8183.5</v>
      </c>
      <c r="I12" s="56" t="s">
        <v>75</v>
      </c>
      <c r="J12" s="57" t="s">
        <v>76</v>
      </c>
      <c r="K12" s="56">
        <v>8183.5</v>
      </c>
      <c r="L12" s="56" t="s">
        <v>77</v>
      </c>
      <c r="M12" s="57" t="s">
        <v>72</v>
      </c>
      <c r="N12" s="57" t="s">
        <v>78</v>
      </c>
      <c r="O12" s="58" t="s">
        <v>79</v>
      </c>
      <c r="P12" s="59" t="s">
        <v>80</v>
      </c>
    </row>
    <row r="13" spans="1:16" ht="12.75" customHeight="1" x14ac:dyDescent="0.2">
      <c r="A13" s="8" t="str">
        <f t="shared" si="0"/>
        <v>BAVM 209 </v>
      </c>
      <c r="B13" s="22" t="str">
        <f t="shared" si="1"/>
        <v>I</v>
      </c>
      <c r="C13" s="8">
        <f t="shared" si="2"/>
        <v>54932.415000000001</v>
      </c>
      <c r="D13" t="str">
        <f t="shared" si="3"/>
        <v>vis</v>
      </c>
      <c r="E13">
        <f>VLOOKUP(C13,'Active 1'!C$21:E$972,3,FALSE)</f>
        <v>8208.0802370462825</v>
      </c>
      <c r="F13" s="22" t="s">
        <v>68</v>
      </c>
      <c r="G13" t="str">
        <f t="shared" si="4"/>
        <v>54932.4150</v>
      </c>
      <c r="H13" s="8">
        <f t="shared" si="5"/>
        <v>8208</v>
      </c>
      <c r="I13" s="56" t="s">
        <v>81</v>
      </c>
      <c r="J13" s="57" t="s">
        <v>82</v>
      </c>
      <c r="K13" s="56" t="s">
        <v>83</v>
      </c>
      <c r="L13" s="56" t="s">
        <v>84</v>
      </c>
      <c r="M13" s="57" t="s">
        <v>72</v>
      </c>
      <c r="N13" s="57" t="s">
        <v>85</v>
      </c>
      <c r="O13" s="58" t="s">
        <v>86</v>
      </c>
      <c r="P13" s="59" t="s">
        <v>87</v>
      </c>
    </row>
    <row r="14" spans="1:16" ht="12.75" customHeight="1" x14ac:dyDescent="0.2">
      <c r="A14" s="8" t="str">
        <f t="shared" si="0"/>
        <v>BAVM 209 </v>
      </c>
      <c r="B14" s="22" t="str">
        <f t="shared" si="1"/>
        <v>II</v>
      </c>
      <c r="C14" s="8">
        <f t="shared" si="2"/>
        <v>54932.620699999999</v>
      </c>
      <c r="D14" t="str">
        <f t="shared" si="3"/>
        <v>vis</v>
      </c>
      <c r="E14">
        <f>VLOOKUP(C14,'Active 1'!C$21:E$972,3,FALSE)</f>
        <v>8208.5814749113033</v>
      </c>
      <c r="F14" s="22" t="s">
        <v>68</v>
      </c>
      <c r="G14" t="str">
        <f t="shared" si="4"/>
        <v>54932.6207</v>
      </c>
      <c r="H14" s="8">
        <f t="shared" si="5"/>
        <v>8208.5</v>
      </c>
      <c r="I14" s="56" t="s">
        <v>88</v>
      </c>
      <c r="J14" s="57" t="s">
        <v>89</v>
      </c>
      <c r="K14" s="56" t="s">
        <v>90</v>
      </c>
      <c r="L14" s="56" t="s">
        <v>91</v>
      </c>
      <c r="M14" s="57" t="s">
        <v>72</v>
      </c>
      <c r="N14" s="57" t="s">
        <v>85</v>
      </c>
      <c r="O14" s="58" t="s">
        <v>86</v>
      </c>
      <c r="P14" s="59" t="s">
        <v>87</v>
      </c>
    </row>
    <row r="15" spans="1:16" ht="12.75" customHeight="1" x14ac:dyDescent="0.2">
      <c r="A15" s="8" t="str">
        <f t="shared" si="0"/>
        <v>IBVS 5945 </v>
      </c>
      <c r="B15" s="22" t="str">
        <f t="shared" si="1"/>
        <v>II</v>
      </c>
      <c r="C15" s="8">
        <f t="shared" si="2"/>
        <v>55243.6924</v>
      </c>
      <c r="D15" t="str">
        <f t="shared" si="3"/>
        <v>vis</v>
      </c>
      <c r="E15">
        <f>VLOOKUP(C15,'Active 1'!C$21:E$972,3,FALSE)</f>
        <v>8966.5830051853882</v>
      </c>
      <c r="F15" s="22" t="s">
        <v>68</v>
      </c>
      <c r="G15" t="str">
        <f t="shared" si="4"/>
        <v>55243.6924</v>
      </c>
      <c r="H15" s="8">
        <f t="shared" si="5"/>
        <v>8966.5</v>
      </c>
      <c r="I15" s="56" t="s">
        <v>92</v>
      </c>
      <c r="J15" s="57" t="s">
        <v>93</v>
      </c>
      <c r="K15" s="56" t="s">
        <v>94</v>
      </c>
      <c r="L15" s="56" t="s">
        <v>95</v>
      </c>
      <c r="M15" s="57" t="s">
        <v>72</v>
      </c>
      <c r="N15" s="57" t="s">
        <v>68</v>
      </c>
      <c r="O15" s="58" t="s">
        <v>73</v>
      </c>
      <c r="P15" s="59" t="s">
        <v>96</v>
      </c>
    </row>
    <row r="16" spans="1:16" ht="12.75" customHeight="1" x14ac:dyDescent="0.2">
      <c r="A16" s="8" t="str">
        <f t="shared" si="0"/>
        <v>IBVS 5992 </v>
      </c>
      <c r="B16" s="22" t="str">
        <f t="shared" si="1"/>
        <v>I</v>
      </c>
      <c r="C16" s="8">
        <f t="shared" si="2"/>
        <v>55605.858699999997</v>
      </c>
      <c r="D16" t="str">
        <f t="shared" si="3"/>
        <v>vis</v>
      </c>
      <c r="E16">
        <f>VLOOKUP(C16,'Active 1'!C$21:E$972,3,FALSE)</f>
        <v>9849.0889021014409</v>
      </c>
      <c r="F16" s="22" t="s">
        <v>68</v>
      </c>
      <c r="G16" t="str">
        <f t="shared" si="4"/>
        <v>55605.8587</v>
      </c>
      <c r="H16" s="8">
        <f t="shared" si="5"/>
        <v>9849</v>
      </c>
      <c r="I16" s="56" t="s">
        <v>97</v>
      </c>
      <c r="J16" s="57" t="s">
        <v>98</v>
      </c>
      <c r="K16" s="56" t="s">
        <v>99</v>
      </c>
      <c r="L16" s="56" t="s">
        <v>100</v>
      </c>
      <c r="M16" s="57" t="s">
        <v>72</v>
      </c>
      <c r="N16" s="57" t="s">
        <v>68</v>
      </c>
      <c r="O16" s="58" t="s">
        <v>73</v>
      </c>
      <c r="P16" s="59" t="s">
        <v>101</v>
      </c>
    </row>
    <row r="17" spans="1:16" ht="12.75" customHeight="1" x14ac:dyDescent="0.2">
      <c r="A17" s="8" t="str">
        <f t="shared" si="0"/>
        <v>BAVM 220 </v>
      </c>
      <c r="B17" s="22" t="str">
        <f t="shared" si="1"/>
        <v>II</v>
      </c>
      <c r="C17" s="8">
        <f t="shared" si="2"/>
        <v>55650.385399999999</v>
      </c>
      <c r="D17" t="str">
        <f t="shared" si="3"/>
        <v>vis</v>
      </c>
      <c r="E17">
        <f>VLOOKUP(C17,'Active 1'!C$21:E$972,3,FALSE)</f>
        <v>9957.5889898241639</v>
      </c>
      <c r="F17" s="22" t="s">
        <v>68</v>
      </c>
      <c r="G17" t="str">
        <f t="shared" si="4"/>
        <v>55650.3854</v>
      </c>
      <c r="H17" s="8">
        <f t="shared" si="5"/>
        <v>9957.5</v>
      </c>
      <c r="I17" s="56" t="s">
        <v>102</v>
      </c>
      <c r="J17" s="57" t="s">
        <v>103</v>
      </c>
      <c r="K17" s="56" t="s">
        <v>104</v>
      </c>
      <c r="L17" s="56" t="s">
        <v>100</v>
      </c>
      <c r="M17" s="57" t="s">
        <v>72</v>
      </c>
      <c r="N17" s="57" t="s">
        <v>68</v>
      </c>
      <c r="O17" s="58" t="s">
        <v>86</v>
      </c>
      <c r="P17" s="59" t="s">
        <v>105</v>
      </c>
    </row>
    <row r="18" spans="1:16" ht="12.75" customHeight="1" x14ac:dyDescent="0.2">
      <c r="A18" s="8" t="str">
        <f t="shared" si="0"/>
        <v>OEJV 0160 </v>
      </c>
      <c r="B18" s="22" t="str">
        <f t="shared" si="1"/>
        <v>II</v>
      </c>
      <c r="C18" s="8">
        <f t="shared" si="2"/>
        <v>55654.488230000003</v>
      </c>
      <c r="D18" t="str">
        <f t="shared" si="3"/>
        <v>vis</v>
      </c>
      <c r="E18">
        <f>VLOOKUP(C18,'Active 1'!C$21:E$972,3,FALSE)</f>
        <v>9967.5865287145771</v>
      </c>
      <c r="F18" s="22" t="s">
        <v>68</v>
      </c>
      <c r="G18" t="str">
        <f t="shared" si="4"/>
        <v>55654.48823</v>
      </c>
      <c r="H18" s="8">
        <f t="shared" si="5"/>
        <v>9967.5</v>
      </c>
      <c r="I18" s="56" t="s">
        <v>106</v>
      </c>
      <c r="J18" s="57" t="s">
        <v>107</v>
      </c>
      <c r="K18" s="56" t="s">
        <v>108</v>
      </c>
      <c r="L18" s="56" t="s">
        <v>109</v>
      </c>
      <c r="M18" s="57" t="s">
        <v>72</v>
      </c>
      <c r="N18" s="57" t="s">
        <v>63</v>
      </c>
      <c r="O18" s="58" t="s">
        <v>110</v>
      </c>
      <c r="P18" s="59" t="s">
        <v>111</v>
      </c>
    </row>
    <row r="19" spans="1:16" ht="12.75" customHeight="1" x14ac:dyDescent="0.2">
      <c r="A19" s="8" t="str">
        <f t="shared" si="0"/>
        <v>IBVS 5992 </v>
      </c>
      <c r="B19" s="22" t="str">
        <f t="shared" si="1"/>
        <v>I</v>
      </c>
      <c r="C19" s="8">
        <f t="shared" si="2"/>
        <v>55674.805</v>
      </c>
      <c r="D19" t="str">
        <f t="shared" si="3"/>
        <v>vis</v>
      </c>
      <c r="E19">
        <f>VLOOKUP(C19,'Active 1'!C$21:E$972,3,FALSE)</f>
        <v>10017.093258996454</v>
      </c>
      <c r="F19" s="22" t="s">
        <v>68</v>
      </c>
      <c r="G19" t="str">
        <f t="shared" si="4"/>
        <v>55674.8050</v>
      </c>
      <c r="H19" s="8">
        <f t="shared" si="5"/>
        <v>10017</v>
      </c>
      <c r="I19" s="56" t="s">
        <v>112</v>
      </c>
      <c r="J19" s="57" t="s">
        <v>113</v>
      </c>
      <c r="K19" s="56" t="s">
        <v>114</v>
      </c>
      <c r="L19" s="56" t="s">
        <v>115</v>
      </c>
      <c r="M19" s="57" t="s">
        <v>72</v>
      </c>
      <c r="N19" s="57" t="s">
        <v>68</v>
      </c>
      <c r="O19" s="58" t="s">
        <v>73</v>
      </c>
      <c r="P19" s="59" t="s">
        <v>101</v>
      </c>
    </row>
    <row r="20" spans="1:16" ht="12.75" customHeight="1" x14ac:dyDescent="0.2">
      <c r="A20" s="8" t="str">
        <f t="shared" si="0"/>
        <v>IBVS 6029 </v>
      </c>
      <c r="B20" s="22" t="str">
        <f t="shared" si="1"/>
        <v>I</v>
      </c>
      <c r="C20" s="8">
        <f t="shared" si="2"/>
        <v>55971.918100000003</v>
      </c>
      <c r="D20" t="str">
        <f t="shared" si="3"/>
        <v>vis</v>
      </c>
      <c r="E20">
        <f>VLOOKUP(C20,'Active 1'!C$21:E$972,3,FALSE)</f>
        <v>10741.081279971935</v>
      </c>
      <c r="F20" s="22" t="s">
        <v>68</v>
      </c>
      <c r="G20" t="str">
        <f t="shared" si="4"/>
        <v>55971.9181</v>
      </c>
      <c r="H20" s="8">
        <f t="shared" si="5"/>
        <v>10741</v>
      </c>
      <c r="I20" s="56" t="s">
        <v>116</v>
      </c>
      <c r="J20" s="57" t="s">
        <v>117</v>
      </c>
      <c r="K20" s="56" t="s">
        <v>118</v>
      </c>
      <c r="L20" s="56" t="s">
        <v>91</v>
      </c>
      <c r="M20" s="57" t="s">
        <v>72</v>
      </c>
      <c r="N20" s="57" t="s">
        <v>68</v>
      </c>
      <c r="O20" s="58" t="s">
        <v>73</v>
      </c>
      <c r="P20" s="59" t="s">
        <v>119</v>
      </c>
    </row>
    <row r="21" spans="1:16" ht="12.75" customHeight="1" x14ac:dyDescent="0.2">
      <c r="A21" s="8" t="str">
        <f t="shared" si="0"/>
        <v>BAVM 232 </v>
      </c>
      <c r="B21" s="22" t="str">
        <f t="shared" si="1"/>
        <v>I</v>
      </c>
      <c r="C21" s="8">
        <f t="shared" si="2"/>
        <v>56008.448600000003</v>
      </c>
      <c r="D21" t="str">
        <f t="shared" si="3"/>
        <v>vis</v>
      </c>
      <c r="E21">
        <f>VLOOKUP(C21,'Active 1'!C$21:E$972,3,FALSE)</f>
        <v>10830.096689929442</v>
      </c>
      <c r="F21" s="22" t="s">
        <v>68</v>
      </c>
      <c r="G21" t="str">
        <f t="shared" si="4"/>
        <v>56008.4486</v>
      </c>
      <c r="H21" s="8">
        <f t="shared" si="5"/>
        <v>10830</v>
      </c>
      <c r="I21" s="56" t="s">
        <v>120</v>
      </c>
      <c r="J21" s="57" t="s">
        <v>121</v>
      </c>
      <c r="K21" s="56" t="s">
        <v>122</v>
      </c>
      <c r="L21" s="56" t="s">
        <v>123</v>
      </c>
      <c r="M21" s="57" t="s">
        <v>72</v>
      </c>
      <c r="N21" s="57" t="s">
        <v>85</v>
      </c>
      <c r="O21" s="58" t="s">
        <v>124</v>
      </c>
      <c r="P21" s="59" t="s">
        <v>125</v>
      </c>
    </row>
    <row r="22" spans="1:16" ht="12.75" customHeight="1" x14ac:dyDescent="0.2">
      <c r="A22" s="8" t="str">
        <f t="shared" si="0"/>
        <v>BAVM 232 </v>
      </c>
      <c r="B22" s="22" t="str">
        <f t="shared" si="1"/>
        <v>II</v>
      </c>
      <c r="C22" s="8">
        <f t="shared" si="2"/>
        <v>56008.652300000002</v>
      </c>
      <c r="D22" t="str">
        <f t="shared" si="3"/>
        <v>vis</v>
      </c>
      <c r="E22">
        <f>VLOOKUP(C22,'Active 1'!C$21:E$972,3,FALSE)</f>
        <v>10830.593054310115</v>
      </c>
      <c r="F22" s="22" t="s">
        <v>68</v>
      </c>
      <c r="G22" t="str">
        <f t="shared" si="4"/>
        <v>56008.6523</v>
      </c>
      <c r="H22" s="8">
        <f t="shared" si="5"/>
        <v>10830.5</v>
      </c>
      <c r="I22" s="56" t="s">
        <v>126</v>
      </c>
      <c r="J22" s="57" t="s">
        <v>127</v>
      </c>
      <c r="K22" s="56" t="s">
        <v>128</v>
      </c>
      <c r="L22" s="56" t="s">
        <v>129</v>
      </c>
      <c r="M22" s="57" t="s">
        <v>72</v>
      </c>
      <c r="N22" s="57" t="s">
        <v>85</v>
      </c>
      <c r="O22" s="58" t="s">
        <v>124</v>
      </c>
      <c r="P22" s="59" t="s">
        <v>125</v>
      </c>
    </row>
    <row r="23" spans="1:16" ht="12.75" customHeight="1" x14ac:dyDescent="0.2">
      <c r="A23" s="8" t="str">
        <f t="shared" si="0"/>
        <v>BAVM 228 </v>
      </c>
      <c r="B23" s="22" t="str">
        <f t="shared" si="1"/>
        <v>II</v>
      </c>
      <c r="C23" s="8">
        <f t="shared" si="2"/>
        <v>56009.474900000001</v>
      </c>
      <c r="D23" t="str">
        <f t="shared" si="3"/>
        <v>vis</v>
      </c>
      <c r="E23">
        <f>VLOOKUP(C23,'Active 1'!C$21:E$972,3,FALSE)</f>
        <v>10832.597518421775</v>
      </c>
      <c r="F23" s="22" t="s">
        <v>68</v>
      </c>
      <c r="G23" t="str">
        <f t="shared" si="4"/>
        <v>56009.4749</v>
      </c>
      <c r="H23" s="8">
        <f t="shared" si="5"/>
        <v>10832.5</v>
      </c>
      <c r="I23" s="56" t="s">
        <v>130</v>
      </c>
      <c r="J23" s="57" t="s">
        <v>131</v>
      </c>
      <c r="K23" s="56" t="s">
        <v>132</v>
      </c>
      <c r="L23" s="56" t="s">
        <v>133</v>
      </c>
      <c r="M23" s="57" t="s">
        <v>72</v>
      </c>
      <c r="N23" s="57" t="s">
        <v>85</v>
      </c>
      <c r="O23" s="58" t="s">
        <v>86</v>
      </c>
      <c r="P23" s="59" t="s">
        <v>134</v>
      </c>
    </row>
    <row r="24" spans="1:16" ht="12.75" customHeight="1" x14ac:dyDescent="0.2">
      <c r="A24" s="8" t="str">
        <f t="shared" si="0"/>
        <v>IBVS 6029 </v>
      </c>
      <c r="B24" s="22" t="str">
        <f t="shared" si="1"/>
        <v>I</v>
      </c>
      <c r="C24" s="8">
        <f t="shared" si="2"/>
        <v>56034.709900000002</v>
      </c>
      <c r="D24" t="str">
        <f t="shared" si="3"/>
        <v>vis</v>
      </c>
      <c r="E24">
        <f>VLOOKUP(C24,'Active 1'!C$21:E$972,3,FALSE)</f>
        <v>10894.088707162078</v>
      </c>
      <c r="F24" s="22" t="s">
        <v>68</v>
      </c>
      <c r="G24" t="str">
        <f t="shared" si="4"/>
        <v>56034.7099</v>
      </c>
      <c r="H24" s="8">
        <f t="shared" si="5"/>
        <v>10894</v>
      </c>
      <c r="I24" s="56" t="s">
        <v>135</v>
      </c>
      <c r="J24" s="57" t="s">
        <v>136</v>
      </c>
      <c r="K24" s="56" t="s">
        <v>137</v>
      </c>
      <c r="L24" s="56" t="s">
        <v>138</v>
      </c>
      <c r="M24" s="57" t="s">
        <v>72</v>
      </c>
      <c r="N24" s="57" t="s">
        <v>68</v>
      </c>
      <c r="O24" s="58" t="s">
        <v>73</v>
      </c>
      <c r="P24" s="59" t="s">
        <v>119</v>
      </c>
    </row>
    <row r="25" spans="1:16" ht="12.75" customHeight="1" x14ac:dyDescent="0.2">
      <c r="A25" s="8" t="str">
        <f t="shared" si="0"/>
        <v>BAVM 234 </v>
      </c>
      <c r="B25" s="22" t="str">
        <f t="shared" si="1"/>
        <v>II</v>
      </c>
      <c r="C25" s="8">
        <f t="shared" si="2"/>
        <v>56408.375</v>
      </c>
      <c r="D25" t="str">
        <f t="shared" si="3"/>
        <v>vis</v>
      </c>
      <c r="E25">
        <f>VLOOKUP(C25,'Active 1'!C$21:E$972,3,FALSE)</f>
        <v>11804.614214979143</v>
      </c>
      <c r="F25" s="22" t="s">
        <v>68</v>
      </c>
      <c r="G25" t="str">
        <f t="shared" si="4"/>
        <v>56408.375</v>
      </c>
      <c r="H25" s="8">
        <f t="shared" si="5"/>
        <v>11804.5</v>
      </c>
      <c r="I25" s="56" t="s">
        <v>139</v>
      </c>
      <c r="J25" s="57" t="s">
        <v>140</v>
      </c>
      <c r="K25" s="56" t="s">
        <v>141</v>
      </c>
      <c r="L25" s="56" t="s">
        <v>142</v>
      </c>
      <c r="M25" s="57" t="s">
        <v>72</v>
      </c>
      <c r="N25" s="57" t="s">
        <v>68</v>
      </c>
      <c r="O25" s="58" t="s">
        <v>143</v>
      </c>
      <c r="P25" s="59" t="s">
        <v>144</v>
      </c>
    </row>
    <row r="26" spans="1:16" ht="12.75" customHeight="1" x14ac:dyDescent="0.2">
      <c r="A26" s="8" t="str">
        <f t="shared" si="0"/>
        <v>BAVM 234 </v>
      </c>
      <c r="B26" s="22" t="str">
        <f t="shared" si="1"/>
        <v>I</v>
      </c>
      <c r="C26" s="8">
        <f t="shared" si="2"/>
        <v>56408.576300000001</v>
      </c>
      <c r="D26" t="str">
        <f t="shared" si="3"/>
        <v>vis</v>
      </c>
      <c r="E26">
        <f>VLOOKUP(C26,'Active 1'!C$21:E$972,3,FALSE)</f>
        <v>11805.104731178606</v>
      </c>
      <c r="F26" s="22" t="s">
        <v>68</v>
      </c>
      <c r="G26" t="str">
        <f t="shared" si="4"/>
        <v>56408.5763</v>
      </c>
      <c r="H26" s="8">
        <f t="shared" si="5"/>
        <v>11805</v>
      </c>
      <c r="I26" s="56" t="s">
        <v>145</v>
      </c>
      <c r="J26" s="57" t="s">
        <v>146</v>
      </c>
      <c r="K26" s="56" t="s">
        <v>147</v>
      </c>
      <c r="L26" s="56" t="s">
        <v>148</v>
      </c>
      <c r="M26" s="57" t="s">
        <v>72</v>
      </c>
      <c r="N26" s="57" t="s">
        <v>68</v>
      </c>
      <c r="O26" s="58" t="s">
        <v>143</v>
      </c>
      <c r="P26" s="59" t="s">
        <v>144</v>
      </c>
    </row>
    <row r="27" spans="1:16" ht="12.75" customHeight="1" x14ac:dyDescent="0.2">
      <c r="A27" s="8" t="str">
        <f t="shared" si="0"/>
        <v>IBVS 6050 </v>
      </c>
      <c r="B27" s="22" t="str">
        <f t="shared" si="1"/>
        <v>II</v>
      </c>
      <c r="C27" s="8">
        <f t="shared" si="2"/>
        <v>55938.885000000002</v>
      </c>
      <c r="D27" t="str">
        <f t="shared" si="3"/>
        <v>vis</v>
      </c>
      <c r="E27" t="e">
        <f>VLOOKUP(C27,'Active 1'!C$21:E$972,3,FALSE)</f>
        <v>#N/A</v>
      </c>
      <c r="F27" s="22" t="s">
        <v>68</v>
      </c>
      <c r="G27" t="str">
        <f t="shared" si="4"/>
        <v>55938.885</v>
      </c>
      <c r="H27" s="8">
        <f t="shared" si="5"/>
        <v>10660.5</v>
      </c>
      <c r="I27" s="56" t="s">
        <v>149</v>
      </c>
      <c r="J27" s="57" t="s">
        <v>150</v>
      </c>
      <c r="K27" s="56" t="s">
        <v>151</v>
      </c>
      <c r="L27" s="56" t="s">
        <v>152</v>
      </c>
      <c r="M27" s="57" t="s">
        <v>72</v>
      </c>
      <c r="N27" s="57" t="s">
        <v>63</v>
      </c>
      <c r="O27" s="58" t="s">
        <v>153</v>
      </c>
      <c r="P27" s="59" t="s">
        <v>154</v>
      </c>
    </row>
    <row r="28" spans="1:16" ht="12.75" customHeight="1" x14ac:dyDescent="0.2">
      <c r="A28" s="8" t="str">
        <f t="shared" si="0"/>
        <v>IBVS 6033 </v>
      </c>
      <c r="B28" s="22" t="str">
        <f t="shared" si="1"/>
        <v>I</v>
      </c>
      <c r="C28" s="8">
        <f t="shared" si="2"/>
        <v>55983.413999999997</v>
      </c>
      <c r="D28" t="str">
        <f t="shared" si="3"/>
        <v>vis</v>
      </c>
      <c r="E28">
        <f>VLOOKUP(C28,'Active 1'!C$21:E$972,3,FALSE)</f>
        <v>10769.093824320629</v>
      </c>
      <c r="F28" s="22" t="s">
        <v>68</v>
      </c>
      <c r="G28" t="str">
        <f t="shared" si="4"/>
        <v>55983.4140</v>
      </c>
      <c r="H28" s="8">
        <f t="shared" si="5"/>
        <v>10769</v>
      </c>
      <c r="I28" s="56" t="s">
        <v>155</v>
      </c>
      <c r="J28" s="57" t="s">
        <v>156</v>
      </c>
      <c r="K28" s="56" t="s">
        <v>157</v>
      </c>
      <c r="L28" s="56" t="s">
        <v>158</v>
      </c>
      <c r="M28" s="57" t="s">
        <v>72</v>
      </c>
      <c r="N28" s="57" t="s">
        <v>68</v>
      </c>
      <c r="O28" s="58" t="s">
        <v>159</v>
      </c>
      <c r="P28" s="59" t="s">
        <v>160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2023-08-22T08:05:21Z</dcterms:created>
  <dcterms:modified xsi:type="dcterms:W3CDTF">2024-07-28T06:24:09Z</dcterms:modified>
</cp:coreProperties>
</file>