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ED55CC5-F150-4690-B20C-DF2122F288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7" i="1"/>
  <c r="A21" i="1"/>
  <c r="C21" i="1"/>
  <c r="C17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K25" i="1"/>
  <c r="Q25" i="1"/>
  <c r="E26" i="1"/>
  <c r="F26" i="1"/>
  <c r="G26" i="1"/>
  <c r="K26" i="1"/>
  <c r="Q26" i="1"/>
  <c r="Q21" i="1"/>
  <c r="G21" i="1"/>
  <c r="I21" i="1"/>
  <c r="E21" i="1"/>
  <c r="F21" i="1"/>
  <c r="C11" i="1"/>
  <c r="C12" i="1"/>
  <c r="C16" i="1" l="1"/>
  <c r="D18" i="1" s="1"/>
  <c r="O23" i="1"/>
  <c r="O24" i="1"/>
  <c r="O21" i="1"/>
  <c r="O26" i="1"/>
  <c r="O22" i="1"/>
  <c r="C15" i="1"/>
  <c r="O25" i="1"/>
  <c r="C18" i="1" l="1"/>
  <c r="F18" i="1"/>
  <c r="F19" i="1" s="1"/>
</calcChain>
</file>

<file path=xl/sharedStrings.xml><?xml version="1.0" encoding="utf-8"?>
<sst xmlns="http://schemas.openxmlformats.org/spreadsheetml/2006/main" count="62" uniqueCount="48">
  <si>
    <t>NV UMa / GSC 3827-0163 / NSV 05040</t>
  </si>
  <si>
    <t>G3827-0163_UMa.xls</t>
  </si>
  <si>
    <t>EA</t>
  </si>
  <si>
    <t>IBVS 5557 Eph.</t>
  </si>
  <si>
    <t>IBVS 5557</t>
  </si>
  <si>
    <t>UMa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</si>
  <si>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</si>
  <si>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</si>
  <si>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</si>
  <si>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</si>
  <si>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</si>
  <si>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</si>
  <si>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</si>
  <si>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</si>
  <si>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</si>
  <si>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</si>
  <si>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</si>
  <si>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</si>
  <si>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</si>
  <si>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</si>
  <si>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New Period =</t>
  </si>
  <si>
    <t># of data points:</t>
  </si>
  <si>
    <t>JD today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</si>
  <si>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</si>
  <si>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</si>
  <si>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</si>
  <si>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</si>
  <si>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</si>
  <si>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</si>
  <si>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</si>
  <si>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</si>
  <si>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</si>
  <si>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</si>
  <si>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</si>
  <si>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</si>
  <si>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</si>
  <si>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</si>
  <si>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</si>
  <si>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</si>
  <si>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</si>
  <si>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</si>
  <si>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</si>
  <si>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</si>
  <si>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OEJV 0160</t>
  </si>
  <si>
    <t>I</t>
  </si>
  <si>
    <t>IBVS 6070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</si>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</sst>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0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  <xf numFmtId="0" fontId="9" fillId="0" borderId="0"/>
  </cellStyleXfs>
  <cellXfs count="3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UMa - O-C Diagr.</a:t>
            </a:r>
          </a:p>
        </c:rich>
      </c:tx>
      <c:layout>
        <c:manualLayout>
          <c:xMode val="edge"/>
          <c:yMode val="edge"/>
          <c:x val="0.3824756606397774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7385257301808"/>
          <c:y val="0.16816879871997983"/>
          <c:w val="0.83449235048678716"/>
          <c:h val="0.615617191995144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Active!$H$21:$H$260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64-4D08-AF40-CFDD15EB933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Active!$I$21:$I$260</c:f>
              <c:numCache>
                <c:formatCode>General</c:formatCode>
                <c:ptCount val="24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64-4D08-AF40-CFDD15EB933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Active!$J$21:$J$260</c:f>
              <c:numCache>
                <c:formatCode>General</c:formatCode>
                <c:ptCount val="240"/>
                <c:pt idx="3">
                  <c:v>5.8500000013737008E-3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64-4D08-AF40-CFDD15EB933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Active!$K$21:$K$260</c:f>
              <c:numCache>
                <c:formatCode>General</c:formatCode>
                <c:ptCount val="240"/>
                <c:pt idx="1">
                  <c:v>5.190000003494788E-3</c:v>
                </c:pt>
                <c:pt idx="2">
                  <c:v>4.9500000022817403E-3</c:v>
                </c:pt>
                <c:pt idx="4">
                  <c:v>4.0800000060698949E-3</c:v>
                </c:pt>
                <c:pt idx="5">
                  <c:v>6.3500000978820026E-3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64-4D08-AF40-CFDD15EB933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Active!$L$21:$L$260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64-4D08-AF40-CFDD15EB93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Active!$M$21:$M$260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64-4D08-AF40-CFDD15EB93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Active!$N$21:$N$260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64-4D08-AF40-CFDD15EB93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1440</c:v>
                </c:pt>
                <c:pt idx="2">
                  <c:v>1443</c:v>
                </c:pt>
                <c:pt idx="3">
                  <c:v>1443</c:v>
                </c:pt>
                <c:pt idx="4">
                  <c:v>1906</c:v>
                </c:pt>
                <c:pt idx="5">
                  <c:v>2147</c:v>
                </c:pt>
              </c:numCache>
            </c:numRef>
          </c:xVal>
          <c:yVal>
            <c:numRef>
              <c:f>Active!$O$21:$O$260</c:f>
              <c:numCache>
                <c:formatCode>General</c:formatCode>
                <c:ptCount val="240"/>
                <c:pt idx="0">
                  <c:v>4.5461612021492947E-3</c:v>
                </c:pt>
                <c:pt idx="1">
                  <c:v>5.180179522296346E-3</c:v>
                </c:pt>
                <c:pt idx="2">
                  <c:v>5.1815003937966519E-3</c:v>
                </c:pt>
                <c:pt idx="3">
                  <c:v>5.1815003937966519E-3</c:v>
                </c:pt>
                <c:pt idx="4">
                  <c:v>5.3853548953439329E-3</c:v>
                </c:pt>
                <c:pt idx="5">
                  <c:v>5.491464905868544E-3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64-4D08-AF40-CFDD15EB9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62584"/>
        <c:axId val="1"/>
      </c:scatterChart>
      <c:valAx>
        <c:axId val="712962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689847009734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69541029207229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62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869262865090403"/>
          <c:y val="0.91291543512015949"/>
          <c:w val="0.5827538247566064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9F6878-EB95-D87E-4FEC-72514B9A9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s="4" customFormat="1" ht="20.25" x14ac:dyDescent="0.2">
      <c r="A1" s="31" t="s">
        <v>0</v>
      </c>
      <c r="E1" s="2"/>
      <c r="F1" s="2" t="s">
        <v>1</v>
      </c>
      <c r="G1" s="3" t="s">
        <v>2</v>
      </c>
      <c r="H1" s="2" t="s">
        <v>3</v>
      </c>
      <c r="I1" s="3">
        <v>51306.81</v>
      </c>
      <c r="J1" s="3">
        <v>3.0240499999999999</v>
      </c>
      <c r="K1" s="3" t="s">
        <v>4</v>
      </c>
      <c r="L1" s="3" t="s">
        <v>5</v>
      </c>
    </row>
    <row r="2" spans="1:12" s="4" customFormat="1" ht="12.75" customHeight="1" x14ac:dyDescent="0.2">
      <c r="A2" s="4" t="s">
        <v>6</v>
      </c>
      <c r="B2" s="4" t="s">
        <v>2</v>
      </c>
      <c r="C2" s="5" t="s">
        <v>5</v>
      </c>
      <c r="D2" s="4" t="s">
        <v>1</v>
      </c>
    </row>
    <row r="3" spans="1:12" s="4" customFormat="1" ht="12.75" customHeight="1" x14ac:dyDescent="0.2"/>
    <row r="4" spans="1:12" s="4" customFormat="1" ht="12.75" customHeight="1" x14ac:dyDescent="0.2">
      <c r="A4" s="6" t="s">
        <v>3</v>
      </c>
      <c r="C4" s="7">
        <v>51306.81</v>
      </c>
      <c r="D4" s="8">
        <v>3.0240499999999999</v>
      </c>
    </row>
    <row r="5" spans="1:12" s="4" customFormat="1" ht="12.75" customHeight="1" x14ac:dyDescent="0.2">
      <c r="A5" s="6" t="s">
        <v>7</v>
      </c>
      <c r="C5" s="9">
        <v>-9.5</v>
      </c>
      <c r="D5" s="4" t="s">
        <v>8</v>
      </c>
    </row>
    <row r="6" spans="1:12" s="4" customFormat="1" ht="12.75" customHeight="1" x14ac:dyDescent="0.2">
      <c r="A6" s="10" t="s">
        <v>9</v>
      </c>
    </row>
    <row r="7" spans="1:12" s="4" customFormat="1" ht="12.75" customHeight="1" x14ac:dyDescent="0.2">
      <c r="A7" s="4" t="s">
        <v>10</v>
      </c>
      <c r="C7" s="4">
        <f>+C4</f>
        <v>51306.81</v>
      </c>
    </row>
    <row r="8" spans="1:12" s="4" customFormat="1" ht="12.75" customHeight="1" x14ac:dyDescent="0.2">
      <c r="A8" s="4" t="s">
        <v>11</v>
      </c>
      <c r="C8" s="4">
        <f>+D4</f>
        <v>3.0240499999999999</v>
      </c>
    </row>
    <row r="9" spans="1:12" s="4" customFormat="1" ht="12.75" customHeight="1" x14ac:dyDescent="0.2">
      <c r="A9" s="2" t="s">
        <v>12</v>
      </c>
      <c r="B9" s="11">
        <v>22</v>
      </c>
      <c r="C9" s="12" t="str">
        <f>"F"&amp;B9</f>
        <v>F22</v>
      </c>
      <c r="D9" s="13" t="str">
        <f>"G"&amp;B9</f>
        <v>G22</v>
      </c>
    </row>
    <row r="10" spans="1:12" s="4" customFormat="1" ht="12.75" customHeight="1" x14ac:dyDescent="0.2">
      <c r="C10" s="14" t="s">
        <v>13</v>
      </c>
      <c r="D10" s="14" t="s">
        <v>14</v>
      </c>
    </row>
    <row r="11" spans="1:12" s="4" customFormat="1" ht="12.75" customHeight="1" x14ac:dyDescent="0.2">
      <c r="A11" s="4" t="s">
        <v>15</v>
      </c>
      <c r="C11" s="13">
        <f ca="1">INTERCEPT(INDIRECT($D$9):G992,INDIRECT($C$9):F992)</f>
        <v>4.5461612021492947E-3</v>
      </c>
      <c r="D11" s="15"/>
    </row>
    <row r="12" spans="1:12" s="4" customFormat="1" ht="12.75" customHeight="1" x14ac:dyDescent="0.2">
      <c r="A12" s="4" t="s">
        <v>16</v>
      </c>
      <c r="C12" s="13">
        <f ca="1">SLOPE(INDIRECT($D$9):G992,INDIRECT($C$9):F992)</f>
        <v>4.4029050010211887E-7</v>
      </c>
      <c r="D12" s="15"/>
    </row>
    <row r="13" spans="1:12" s="4" customFormat="1" ht="12.75" customHeight="1" x14ac:dyDescent="0.2">
      <c r="A13" s="4" t="s">
        <v>17</v>
      </c>
      <c r="C13" s="15" t="s">
        <v>18</v>
      </c>
    </row>
    <row r="14" spans="1:12" s="4" customFormat="1" ht="12.75" customHeight="1" x14ac:dyDescent="0.2"/>
    <row r="15" spans="1:12" s="4" customFormat="1" ht="12.75" customHeight="1" x14ac:dyDescent="0.2">
      <c r="A15" s="10" t="s">
        <v>19</v>
      </c>
      <c r="C15" s="16">
        <f ca="1">(C7+C11)+(C8+C12)*INT(MAX(F21:F3533))</f>
        <v>57799.450841464903</v>
      </c>
      <c r="E15" s="15"/>
    </row>
    <row r="16" spans="1:12" s="4" customFormat="1" ht="12.75" customHeight="1" x14ac:dyDescent="0.2">
      <c r="A16" s="10" t="s">
        <v>20</v>
      </c>
      <c r="C16" s="16">
        <f ca="1">+C8+C12</f>
        <v>3.0240504402905</v>
      </c>
    </row>
    <row r="17" spans="1:18" s="4" customFormat="1" ht="12.75" customHeight="1" x14ac:dyDescent="0.2">
      <c r="A17" s="2" t="s">
        <v>21</v>
      </c>
      <c r="C17" s="4">
        <f>COUNT(C21:C2191)</f>
        <v>6</v>
      </c>
      <c r="E17" s="2" t="s">
        <v>22</v>
      </c>
      <c r="F17" s="13">
        <f ca="1">TODAY()+15018.5-B5/24</f>
        <v>60378.5</v>
      </c>
    </row>
    <row r="18" spans="1:18" s="4" customFormat="1" ht="12.75" customHeight="1" x14ac:dyDescent="0.2">
      <c r="A18" s="10" t="s">
        <v>23</v>
      </c>
      <c r="C18" s="17">
        <f ca="1">+C15</f>
        <v>57799.450841464903</v>
      </c>
      <c r="D18" s="18">
        <f ca="1">+C16</f>
        <v>3.0240504402905</v>
      </c>
      <c r="E18" s="2" t="s">
        <v>24</v>
      </c>
      <c r="F18" s="13">
        <f ca="1">ROUND(2*(F17-C15)/C16,0)/2+1</f>
        <v>854</v>
      </c>
    </row>
    <row r="19" spans="1:18" s="4" customFormat="1" ht="12.75" customHeight="1" x14ac:dyDescent="0.2">
      <c r="E19" s="2" t="s">
        <v>25</v>
      </c>
      <c r="F19" s="19">
        <f ca="1">+C15+C16*F18-15018.5-C5/24</f>
        <v>45363.885750806323</v>
      </c>
    </row>
    <row r="20" spans="1:18" s="4" customFormat="1" ht="12.75" customHeight="1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4" t="s">
        <v>42</v>
      </c>
    </row>
    <row r="21" spans="1:18" s="4" customFormat="1" ht="12.75" customHeight="1" x14ac:dyDescent="0.2">
      <c r="A21" s="4" t="str">
        <f>$K$1</f>
        <v>IBVS 5557</v>
      </c>
      <c r="C21" s="5">
        <f>+$C$4</f>
        <v>51306.81</v>
      </c>
      <c r="D21" s="5" t="s">
        <v>18</v>
      </c>
      <c r="E21" s="4">
        <f t="shared" ref="E21:E26" si="0">+(C21-C$7)/C$8</f>
        <v>0</v>
      </c>
      <c r="F21" s="4">
        <f t="shared" ref="F21:F26" si="1">ROUND(2*E21,0)/2</f>
        <v>0</v>
      </c>
      <c r="G21" s="4">
        <f t="shared" ref="G21:G26" si="2">+C21-(C$7+F21*C$8)</f>
        <v>0</v>
      </c>
      <c r="I21" s="4">
        <f>+G21</f>
        <v>0</v>
      </c>
      <c r="O21" s="4">
        <f t="shared" ref="O21:O26" ca="1" si="3">+C$11+C$12*$F21</f>
        <v>4.5461612021492947E-3</v>
      </c>
      <c r="Q21" s="21">
        <f t="shared" ref="Q21:Q26" si="4">+C21-15018.5</f>
        <v>36288.31</v>
      </c>
    </row>
    <row r="22" spans="1:18" s="4" customFormat="1" ht="12.75" customHeight="1" x14ac:dyDescent="0.2">
      <c r="A22" s="22" t="s">
        <v>43</v>
      </c>
      <c r="B22" s="23" t="s">
        <v>44</v>
      </c>
      <c r="C22" s="24">
        <v>55661.447189999999</v>
      </c>
      <c r="D22" s="24">
        <v>1E-3</v>
      </c>
      <c r="E22" s="4">
        <f t="shared" si="0"/>
        <v>1440.0017162414647</v>
      </c>
      <c r="F22" s="4">
        <f t="shared" si="1"/>
        <v>1440</v>
      </c>
      <c r="G22" s="4">
        <f t="shared" si="2"/>
        <v>5.190000003494788E-3</v>
      </c>
      <c r="K22" s="4">
        <f>+G22</f>
        <v>5.190000003494788E-3</v>
      </c>
      <c r="O22" s="4">
        <f t="shared" ca="1" si="3"/>
        <v>5.180179522296346E-3</v>
      </c>
      <c r="Q22" s="21">
        <f t="shared" si="4"/>
        <v>40642.947189999999</v>
      </c>
      <c r="R22" s="4" t="s">
        <v>36</v>
      </c>
    </row>
    <row r="23" spans="1:18" s="4" customFormat="1" ht="12.75" customHeight="1" x14ac:dyDescent="0.2">
      <c r="A23" s="22" t="s">
        <v>43</v>
      </c>
      <c r="B23" s="23" t="s">
        <v>44</v>
      </c>
      <c r="C23" s="24">
        <v>55670.519099999998</v>
      </c>
      <c r="D23" s="24">
        <v>6.9999999999999999E-4</v>
      </c>
      <c r="E23" s="4">
        <f t="shared" si="0"/>
        <v>1443.0016368776971</v>
      </c>
      <c r="F23" s="4">
        <f t="shared" si="1"/>
        <v>1443</v>
      </c>
      <c r="G23" s="4">
        <f t="shared" si="2"/>
        <v>4.9500000022817403E-3</v>
      </c>
      <c r="K23" s="4">
        <f>+G23</f>
        <v>4.9500000022817403E-3</v>
      </c>
      <c r="O23" s="4">
        <f t="shared" ca="1" si="3"/>
        <v>5.1815003937966519E-3</v>
      </c>
      <c r="Q23" s="21">
        <f t="shared" si="4"/>
        <v>40652.019099999998</v>
      </c>
      <c r="R23" s="4" t="s">
        <v>36</v>
      </c>
    </row>
    <row r="24" spans="1:18" s="4" customFormat="1" ht="12.75" customHeight="1" x14ac:dyDescent="0.2">
      <c r="A24" s="22" t="s">
        <v>45</v>
      </c>
      <c r="B24" s="23" t="s">
        <v>44</v>
      </c>
      <c r="C24" s="24">
        <v>55670.52</v>
      </c>
      <c r="D24" s="24">
        <v>2.0000000000000001E-4</v>
      </c>
      <c r="E24" s="4">
        <f t="shared" si="0"/>
        <v>1443.0019344918237</v>
      </c>
      <c r="F24" s="4">
        <f t="shared" si="1"/>
        <v>1443</v>
      </c>
      <c r="G24" s="4">
        <f t="shared" si="2"/>
        <v>5.8500000013737008E-3</v>
      </c>
      <c r="J24" s="4">
        <f>+G24</f>
        <v>5.8500000013737008E-3</v>
      </c>
      <c r="O24" s="4">
        <f t="shared" ca="1" si="3"/>
        <v>5.1815003937966519E-3</v>
      </c>
      <c r="Q24" s="21">
        <f t="shared" si="4"/>
        <v>40652.019999999997</v>
      </c>
      <c r="R24" s="4" t="s">
        <v>35</v>
      </c>
    </row>
    <row r="25" spans="1:18" s="4" customFormat="1" ht="12.75" customHeight="1" x14ac:dyDescent="0.2">
      <c r="A25" s="25" t="s">
        <v>46</v>
      </c>
      <c r="B25" s="26" t="s">
        <v>44</v>
      </c>
      <c r="C25" s="27">
        <v>57070.653380000003</v>
      </c>
      <c r="D25" s="27">
        <v>2.0000000000000001E-4</v>
      </c>
      <c r="E25" s="4">
        <f t="shared" si="0"/>
        <v>1906.0013491840432</v>
      </c>
      <c r="F25" s="4">
        <f t="shared" si="1"/>
        <v>1906</v>
      </c>
      <c r="G25" s="4">
        <f t="shared" si="2"/>
        <v>4.0800000060698949E-3</v>
      </c>
      <c r="K25" s="4">
        <f>+G25</f>
        <v>4.0800000060698949E-3</v>
      </c>
      <c r="O25" s="4">
        <f t="shared" ca="1" si="3"/>
        <v>5.3853548953439329E-3</v>
      </c>
      <c r="Q25" s="21">
        <f t="shared" si="4"/>
        <v>42052.153380000003</v>
      </c>
      <c r="R25" s="4" t="s">
        <v>36</v>
      </c>
    </row>
    <row r="26" spans="1:18" s="4" customFormat="1" ht="12.75" customHeight="1" x14ac:dyDescent="0.2">
      <c r="A26" s="28" t="s">
        <v>47</v>
      </c>
      <c r="B26" s="29" t="s">
        <v>44</v>
      </c>
      <c r="C26" s="30">
        <v>57799.451700000092</v>
      </c>
      <c r="D26" s="30">
        <v>4.0000000000000002E-4</v>
      </c>
      <c r="E26" s="4">
        <f t="shared" si="0"/>
        <v>2147.0020998330369</v>
      </c>
      <c r="F26" s="4">
        <f t="shared" si="1"/>
        <v>2147</v>
      </c>
      <c r="G26" s="4">
        <f t="shared" si="2"/>
        <v>6.3500000978820026E-3</v>
      </c>
      <c r="K26" s="4">
        <f>+G26</f>
        <v>6.3500000978820026E-3</v>
      </c>
      <c r="O26" s="4">
        <f t="shared" ca="1" si="3"/>
        <v>5.491464905868544E-3</v>
      </c>
      <c r="Q26" s="21">
        <f t="shared" si="4"/>
        <v>42780.951700000092</v>
      </c>
      <c r="R26" s="4" t="e">
        <v>#N/A</v>
      </c>
    </row>
    <row r="27" spans="1:18" s="4" customFormat="1" ht="12.75" customHeight="1" x14ac:dyDescent="0.2"/>
    <row r="28" spans="1:18" s="4" customFormat="1" ht="12.75" customHeight="1" x14ac:dyDescent="0.2"/>
    <row r="29" spans="1:18" s="4" customFormat="1" ht="12.75" customHeight="1" x14ac:dyDescent="0.2"/>
    <row r="30" spans="1:18" s="4" customFormat="1" ht="12.75" customHeight="1" x14ac:dyDescent="0.2"/>
    <row r="31" spans="1:18" s="4" customFormat="1" ht="12.75" customHeight="1" x14ac:dyDescent="0.2"/>
    <row r="32" spans="1:18" s="4" customFormat="1" ht="12.75" customHeight="1" x14ac:dyDescent="0.2"/>
    <row r="33" s="4" customFormat="1" ht="12.75" customHeight="1" x14ac:dyDescent="0.2"/>
    <row r="34" s="4" customFormat="1" ht="12.75" customHeight="1" x14ac:dyDescent="0.2"/>
    <row r="35" s="4" customFormat="1" ht="12.7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2024-03-09T04:04:13Z</dcterms:created>
  <dcterms:modified xsi:type="dcterms:W3CDTF">2024-03-09T04:04:13Z</dcterms:modified>
</cp:coreProperties>
</file>