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91B1555-7BAA-4F41-8170-9775B59473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E22" i="1"/>
  <c r="F22" i="1" s="1"/>
  <c r="G22" i="1" s="1"/>
  <c r="K22" i="1" s="1"/>
  <c r="E23" i="1"/>
  <c r="F23" i="1"/>
  <c r="G23" i="1" s="1"/>
  <c r="K23" i="1" s="1"/>
  <c r="E24" i="1"/>
  <c r="F24" i="1" s="1"/>
  <c r="G24" i="1" s="1"/>
  <c r="K24" i="1" s="1"/>
  <c r="E25" i="1"/>
  <c r="F25" i="1"/>
  <c r="G25" i="1" s="1"/>
  <c r="K25" i="1" s="1"/>
  <c r="E26" i="1"/>
  <c r="F26" i="1" s="1"/>
  <c r="G26" i="1" s="1"/>
  <c r="K26" i="1" s="1"/>
  <c r="E27" i="1"/>
  <c r="F27" i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/>
  <c r="G31" i="1" s="1"/>
  <c r="K31" i="1" s="1"/>
  <c r="E21" i="1"/>
  <c r="F21" i="1" s="1"/>
  <c r="G21" i="1" s="1"/>
  <c r="H21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C12" i="1"/>
  <c r="C11" i="1"/>
  <c r="O24" i="1" l="1"/>
  <c r="O23" i="1"/>
  <c r="O27" i="1"/>
  <c r="O31" i="1"/>
  <c r="O22" i="1"/>
  <c r="O26" i="1"/>
  <c r="C15" i="1"/>
  <c r="O30" i="1"/>
  <c r="O29" i="1"/>
  <c r="O28" i="1"/>
  <c r="O21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<sst xmlns="http://schemas.openxmlformats.org/spreadsheetml/2006/main" count="71" uniqueCount="53">
  <si>
    <t>OT UMa / GSC 4132.0362</t>
  </si>
  <si>
    <t>OT UMa</t>
  </si>
  <si>
    <t>2015L</t>
  </si>
  <si>
    <t>G4132.0362</t>
  </si>
  <si>
    <t>EW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</si>
  <si>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</si>
  <si>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</si>
  <si>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</si>
  <si>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</si>
  <si>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</si>
  <si>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</si>
  <si>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</si>
  <si>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</si>
  <si>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</si>
  <si>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</si>
  <si>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</si>
  <si>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</si>
  <si>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</si>
  <si>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</si>
  <si>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</si>
  <si>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</si>
  <si>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</si>
  <si>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</si>
  <si>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</si>
  <si>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</si>
  <si>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</si>
  <si>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</si>
  <si>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</si>
  <si>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</si>
  <si>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</si>
  <si>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</si>
  <si>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</si>
  <si>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</si>
  <si>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</si>
  <si>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</si>
  <si>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</si>
  <si>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</si>
  <si>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</si>
  <si>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</si>
  <si>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</si>
  <si>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</si>
  <si>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</si>
  <si>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</si>
  <si>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</si>
  <si>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</si>
  <si>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</si>
  <si>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</si>
  <si>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OEJV 0168</t>
  </si>
  <si>
    <t>I</t>
  </si>
  <si>
    <t>IBVS 6157</t>
  </si>
  <si>
    <t>OEJV 0179</t>
  </si>
  <si>
    <t>II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</si>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</sst>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\$#,##0_);&quot;($&quot;#,##0\)"/>
    <numFmt numFmtId="173" formatCode="m/d/yyyy\ h:mm"/>
    <numFmt numFmtId="176" formatCode="d/mm/yyyy;@"/>
  </numFmts>
  <fonts count="13">
    <font>
      <sz val="10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9"/>
      <color indexed="8"/>
      <name val="CourierNewPSMT"/>
      <family val="3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72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2" fillId="0" borderId="0"/>
    <xf numFmtId="0" fontId="12" fillId="0" borderId="0"/>
  </cellStyleXfs>
  <cellXfs count="45">
    <xf numFmtId="0" fontId="0" fillId="0" borderId="0" xfId="0">
      <alignment vertical="top"/>
    </xf>
    <xf numFmtId="0" fontId="0" fillId="0" borderId="0" xfId="0" applyAlignment="1"/>
    <xf numFmtId="0" fontId="2" fillId="2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left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0" xfId="5" applyFont="1" applyAlignment="1">
      <alignment horizontal="left"/>
    </xf>
    <xf numFmtId="176" fontId="0" fillId="0" borderId="0" xfId="0" applyNumberFormat="1" applyAlignmen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3" fontId="9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UMa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22822889753688513"/>
          <c:w val="0.8150375939849624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Active!$H$21:$H$310</c:f>
              <c:numCache>
                <c:formatCode>General</c:formatCode>
                <c:ptCount val="290"/>
                <c:pt idx="0">
                  <c:v>-0.15803350000351202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07-4A9C-A6FF-A001C1F761D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Active!$I$21:$I$310</c:f>
              <c:numCache>
                <c:formatCode>General</c:formatCode>
                <c:ptCount val="2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07-4A9C-A6FF-A001C1F761D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Active!$J$21:$J$310</c:f>
              <c:numCache>
                <c:formatCode>General</c:formatCode>
                <c:ptCount val="2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07-4A9C-A6FF-A001C1F761D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Active!$K$21:$K$310</c:f>
              <c:numCache>
                <c:formatCode>General</c:formatCode>
                <c:ptCount val="290"/>
                <c:pt idx="1">
                  <c:v>-6.836200000543613E-2</c:v>
                </c:pt>
                <c:pt idx="2">
                  <c:v>-6.8112000000837725E-2</c:v>
                </c:pt>
                <c:pt idx="3">
                  <c:v>-6.7662000001291744E-2</c:v>
                </c:pt>
                <c:pt idx="4">
                  <c:v>-6.8795499995758291E-2</c:v>
                </c:pt>
                <c:pt idx="5">
                  <c:v>-6.1995000003662426E-2</c:v>
                </c:pt>
                <c:pt idx="6">
                  <c:v>-6.4728500001365319E-2</c:v>
                </c:pt>
                <c:pt idx="7">
                  <c:v>-5.5576999999175314E-2</c:v>
                </c:pt>
                <c:pt idx="8">
                  <c:v>-5.8900500007439405E-2</c:v>
                </c:pt>
                <c:pt idx="9">
                  <c:v>-5.8921500007272698E-2</c:v>
                </c:pt>
                <c:pt idx="10">
                  <c:v>-5.0843999779317528E-2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07-4A9C-A6FF-A001C1F761D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Active!$L$21:$L$310</c:f>
              <c:numCache>
                <c:formatCode>General</c:formatCode>
                <c:ptCount val="2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07-4A9C-A6FF-A001C1F761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Active!$M$21:$M$310</c:f>
              <c:numCache>
                <c:formatCode>General</c:formatCode>
                <c:ptCount val="2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07-4A9C-A6FF-A001C1F761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Active!$N$21:$N$310</c:f>
              <c:numCache>
                <c:formatCode>General</c:formatCode>
                <c:ptCount val="2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07-4A9C-A6FF-A001C1F761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Active!$O$21:$O$310</c:f>
              <c:numCache>
                <c:formatCode>General</c:formatCode>
                <c:ptCount val="290"/>
                <c:pt idx="0">
                  <c:v>-0.15225075638984709</c:v>
                </c:pt>
                <c:pt idx="1">
                  <c:v>-6.8394128825331954E-2</c:v>
                </c:pt>
                <c:pt idx="2">
                  <c:v>-6.8394128825331954E-2</c:v>
                </c:pt>
                <c:pt idx="3">
                  <c:v>-6.8394128825331954E-2</c:v>
                </c:pt>
                <c:pt idx="4">
                  <c:v>-6.8391585480345018E-2</c:v>
                </c:pt>
                <c:pt idx="5">
                  <c:v>-6.2905590343507817E-2</c:v>
                </c:pt>
                <c:pt idx="6">
                  <c:v>-6.2903046998520881E-2</c:v>
                </c:pt>
                <c:pt idx="7">
                  <c:v>-5.7788380229777433E-2</c:v>
                </c:pt>
                <c:pt idx="8">
                  <c:v>-5.7785836884790498E-2</c:v>
                </c:pt>
                <c:pt idx="9">
                  <c:v>-5.7770576814868829E-2</c:v>
                </c:pt>
                <c:pt idx="10">
                  <c:v>-5.1170596573750379E-2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07-4A9C-A6FF-A001C1F761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0.5</c:v>
                </c:pt>
                <c:pt idx="1">
                  <c:v>16486</c:v>
                </c:pt>
                <c:pt idx="2">
                  <c:v>16486</c:v>
                </c:pt>
                <c:pt idx="3">
                  <c:v>16486</c:v>
                </c:pt>
                <c:pt idx="4">
                  <c:v>16486.5</c:v>
                </c:pt>
                <c:pt idx="5">
                  <c:v>17565</c:v>
                </c:pt>
                <c:pt idx="6">
                  <c:v>17565.5</c:v>
                </c:pt>
                <c:pt idx="7">
                  <c:v>18571</c:v>
                </c:pt>
                <c:pt idx="8">
                  <c:v>18571.5</c:v>
                </c:pt>
                <c:pt idx="9">
                  <c:v>18574.5</c:v>
                </c:pt>
                <c:pt idx="10">
                  <c:v>19872</c:v>
                </c:pt>
              </c:numCache>
            </c:numRef>
          </c:xVal>
          <c:yVal>
            <c:numRef>
              <c:f>Active!$R$21:$R$310</c:f>
              <c:numCache>
                <c:formatCode>General</c:formatCode>
                <c:ptCount val="2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07-4A9C-A6FF-A001C1F7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518944"/>
        <c:axId val="1"/>
      </c:scatterChart>
      <c:valAx>
        <c:axId val="71951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518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97744360902255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C67D0A-9C1D-E3CB-88C7-72F8D593B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5" s="17" customFormat="1" ht="20.25">
      <c r="A1" s="43" t="s">
        <v>0</v>
      </c>
      <c r="F1" s="2" t="s">
        <v>1</v>
      </c>
      <c r="G1" s="3" t="s">
        <v>2</v>
      </c>
      <c r="H1" s="4"/>
      <c r="I1" s="5" t="s">
        <v>3</v>
      </c>
      <c r="J1" s="2" t="s">
        <v>1</v>
      </c>
      <c r="K1" s="6">
        <v>8.1923200000000005</v>
      </c>
      <c r="L1" s="7">
        <v>66.123599999999996</v>
      </c>
      <c r="M1" s="8">
        <v>51518.739000000001</v>
      </c>
      <c r="N1" s="8">
        <v>0.31606699999999999</v>
      </c>
      <c r="O1" s="9" t="s">
        <v>4</v>
      </c>
    </row>
    <row r="2" spans="1:15" s="17" customFormat="1" ht="12.75" customHeight="1">
      <c r="A2" s="17" t="s">
        <v>5</v>
      </c>
      <c r="B2" s="17" t="s">
        <v>4</v>
      </c>
      <c r="C2" s="18"/>
      <c r="D2" s="19"/>
    </row>
    <row r="3" spans="1:15" s="17" customFormat="1" ht="12.75" customHeight="1"/>
    <row r="4" spans="1:15" s="17" customFormat="1" ht="12.75" customHeight="1">
      <c r="A4" s="20" t="s">
        <v>6</v>
      </c>
      <c r="C4" s="21">
        <v>51518.739000000001</v>
      </c>
      <c r="D4" s="22">
        <v>0.31606699999999999</v>
      </c>
    </row>
    <row r="5" spans="1:15" s="17" customFormat="1" ht="12.75" customHeight="1">
      <c r="A5" s="23" t="s">
        <v>7</v>
      </c>
      <c r="C5" s="24">
        <v>-9.5</v>
      </c>
      <c r="D5" s="17" t="s">
        <v>8</v>
      </c>
    </row>
    <row r="6" spans="1:15" s="17" customFormat="1" ht="12.75" customHeight="1">
      <c r="A6" s="20" t="s">
        <v>9</v>
      </c>
    </row>
    <row r="7" spans="1:15" s="17" customFormat="1" ht="12.75" customHeight="1">
      <c r="A7" s="17" t="s">
        <v>10</v>
      </c>
      <c r="C7" s="44">
        <v>51518.739000000001</v>
      </c>
      <c r="D7" s="26" t="s">
        <v>11</v>
      </c>
    </row>
    <row r="8" spans="1:15" s="17" customFormat="1" ht="12.75" customHeight="1">
      <c r="A8" s="17" t="s">
        <v>12</v>
      </c>
      <c r="C8" s="44">
        <v>0.31606699999999999</v>
      </c>
      <c r="D8" s="26" t="s">
        <v>11</v>
      </c>
    </row>
    <row r="9" spans="1:15" s="17" customFormat="1" ht="12.75" customHeight="1">
      <c r="A9" s="27" t="s">
        <v>13</v>
      </c>
      <c r="B9" s="28">
        <v>22</v>
      </c>
      <c r="C9" s="29" t="str">
        <f>"F"&amp;B9</f>
        <v>F22</v>
      </c>
      <c r="D9" s="30" t="str">
        <f>"G"&amp;B9</f>
        <v>G22</v>
      </c>
    </row>
    <row r="10" spans="1:15" s="17" customFormat="1" ht="12.75" customHeight="1">
      <c r="C10" s="31" t="s">
        <v>14</v>
      </c>
      <c r="D10" s="31" t="s">
        <v>15</v>
      </c>
    </row>
    <row r="11" spans="1:15" s="17" customFormat="1" ht="12.75" customHeight="1">
      <c r="A11" s="17" t="s">
        <v>16</v>
      </c>
      <c r="C11" s="30">
        <f ca="1">INTERCEPT(INDIRECT($D$9):G992,INDIRECT($C$9):F992)</f>
        <v>-0.15225329973483404</v>
      </c>
      <c r="D11" s="19"/>
    </row>
    <row r="12" spans="1:15" s="17" customFormat="1" ht="12.75" customHeight="1">
      <c r="A12" s="17" t="s">
        <v>17</v>
      </c>
      <c r="C12" s="30">
        <f ca="1">SLOPE(INDIRECT($D$9):G992,INDIRECT($C$9):F992)</f>
        <v>5.0866899738870602E-6</v>
      </c>
      <c r="D12" s="19"/>
    </row>
    <row r="13" spans="1:15" s="17" customFormat="1" ht="12.75" customHeight="1">
      <c r="A13" s="17" t="s">
        <v>18</v>
      </c>
      <c r="C13" s="19" t="s">
        <v>19</v>
      </c>
    </row>
    <row r="14" spans="1:15" s="17" customFormat="1" ht="12.75" customHeight="1"/>
    <row r="15" spans="1:15" s="17" customFormat="1" ht="12.75" customHeight="1">
      <c r="A15" s="20" t="s">
        <v>20</v>
      </c>
      <c r="C15" s="32">
        <f ca="1">(C7+C11)+(C8+C12)*INT(MAX(F21:F3533))</f>
        <v>57799.571253403432</v>
      </c>
      <c r="E15" s="27" t="s">
        <v>21</v>
      </c>
      <c r="F15" s="28">
        <v>1</v>
      </c>
    </row>
    <row r="16" spans="1:15" s="17" customFormat="1" ht="12.75" customHeight="1">
      <c r="A16" s="20" t="s">
        <v>22</v>
      </c>
      <c r="C16" s="32">
        <f ca="1">+C8+C12</f>
        <v>0.31607208668997389</v>
      </c>
      <c r="E16" s="27" t="s">
        <v>23</v>
      </c>
      <c r="F16" s="32">
        <f ca="1">NOW()+15018.5+$C$5/24</f>
        <v>60378.713678587963</v>
      </c>
    </row>
    <row r="17" spans="1:18" s="17" customFormat="1" ht="12.75" customHeight="1">
      <c r="A17" s="27" t="s">
        <v>24</v>
      </c>
      <c r="C17" s="17">
        <f>COUNT(C21:C2191)</f>
        <v>11</v>
      </c>
      <c r="E17" s="27" t="s">
        <v>25</v>
      </c>
      <c r="F17" s="30">
        <f ca="1">ROUND(2*(F16-$C$7)/$C$8,0)/2+F15</f>
        <v>28033</v>
      </c>
    </row>
    <row r="18" spans="1:18" s="17" customFormat="1" ht="12.75" customHeight="1">
      <c r="A18" s="20" t="s">
        <v>26</v>
      </c>
      <c r="C18" s="33">
        <f ca="1">+C15</f>
        <v>57799.571253403432</v>
      </c>
      <c r="D18" s="34">
        <f ca="1">+C16</f>
        <v>0.31607208668997389</v>
      </c>
      <c r="E18" s="27" t="s">
        <v>27</v>
      </c>
      <c r="F18" s="30">
        <f ca="1">ROUND(2*(F16-$C$15)/$C$16,0)/2+F15</f>
        <v>8161</v>
      </c>
    </row>
    <row r="19" spans="1:18" s="17" customFormat="1" ht="12.75" customHeight="1">
      <c r="E19" s="27" t="s">
        <v>28</v>
      </c>
      <c r="F19" s="35">
        <f ca="1">+$C$15+$C$16*F18-15018.5-$C$5/24</f>
        <v>45360.931386213648</v>
      </c>
    </row>
    <row r="20" spans="1:18" s="17" customFormat="1" ht="12.75" customHeight="1">
      <c r="A20" s="31" t="s">
        <v>29</v>
      </c>
      <c r="B20" s="31" t="s">
        <v>30</v>
      </c>
      <c r="C20" s="31" t="s">
        <v>31</v>
      </c>
      <c r="D20" s="31" t="s">
        <v>32</v>
      </c>
      <c r="E20" s="31" t="s">
        <v>33</v>
      </c>
      <c r="F20" s="31" t="s">
        <v>34</v>
      </c>
      <c r="G20" s="31" t="s">
        <v>35</v>
      </c>
      <c r="H20" s="36" t="s">
        <v>36</v>
      </c>
      <c r="I20" s="36" t="s">
        <v>37</v>
      </c>
      <c r="J20" s="36" t="s">
        <v>38</v>
      </c>
      <c r="K20" s="36" t="s">
        <v>39</v>
      </c>
      <c r="L20" s="36" t="s">
        <v>40</v>
      </c>
      <c r="M20" s="36" t="s">
        <v>41</v>
      </c>
      <c r="N20" s="36" t="s">
        <v>42</v>
      </c>
      <c r="O20" s="36" t="s">
        <v>43</v>
      </c>
      <c r="P20" s="36" t="s">
        <v>44</v>
      </c>
      <c r="Q20" s="31" t="s">
        <v>45</v>
      </c>
      <c r="R20" s="37" t="s">
        <v>46</v>
      </c>
    </row>
    <row r="21" spans="1:18" s="17" customFormat="1" ht="12.75" customHeight="1">
      <c r="A21" s="17" t="s">
        <v>11</v>
      </c>
      <c r="C21" s="25">
        <v>51518.739000000001</v>
      </c>
      <c r="D21" s="25" t="s">
        <v>19</v>
      </c>
      <c r="E21" s="17">
        <f t="shared" ref="E21:E30" si="0">+(C21-C$7)/C$8</f>
        <v>0</v>
      </c>
      <c r="F21" s="38">
        <f>ROUND(2*E21,0)/2+0.5</f>
        <v>0.5</v>
      </c>
      <c r="G21" s="17">
        <f t="shared" ref="G21:G30" si="1">+C21-(C$7+F21*C$8)</f>
        <v>-0.15803350000351202</v>
      </c>
      <c r="H21" s="17">
        <f>+G21</f>
        <v>-0.15803350000351202</v>
      </c>
      <c r="O21" s="17">
        <f t="shared" ref="O21:O30" ca="1" si="2">+C$11+C$12*$F21</f>
        <v>-0.15225075638984709</v>
      </c>
      <c r="Q21" s="39">
        <f t="shared" ref="Q21:Q30" si="3">+C21-15018.5</f>
        <v>36500.239000000001</v>
      </c>
    </row>
    <row r="22" spans="1:18" s="17" customFormat="1" ht="12.75" customHeight="1">
      <c r="A22" s="40" t="s">
        <v>47</v>
      </c>
      <c r="B22" s="41" t="s">
        <v>48</v>
      </c>
      <c r="C22" s="42">
        <v>56729.351199999997</v>
      </c>
      <c r="D22" s="40">
        <v>2.9999999999999997E-4</v>
      </c>
      <c r="E22" s="17">
        <f t="shared" si="0"/>
        <v>16485.783710415817</v>
      </c>
      <c r="F22" s="17">
        <f t="shared" ref="F22:F31" si="4">ROUND(2*E22,0)/2</f>
        <v>16486</v>
      </c>
      <c r="G22" s="17">
        <f t="shared" si="1"/>
        <v>-6.836200000543613E-2</v>
      </c>
      <c r="K22" s="17">
        <f t="shared" ref="K22:K30" si="5">+G22</f>
        <v>-6.836200000543613E-2</v>
      </c>
      <c r="O22" s="17">
        <f t="shared" ca="1" si="2"/>
        <v>-6.8394128825331954E-2</v>
      </c>
      <c r="Q22" s="39">
        <f t="shared" si="3"/>
        <v>41710.851199999997</v>
      </c>
    </row>
    <row r="23" spans="1:18" s="17" customFormat="1" ht="12.75" customHeight="1">
      <c r="A23" s="40" t="s">
        <v>47</v>
      </c>
      <c r="B23" s="41" t="s">
        <v>48</v>
      </c>
      <c r="C23" s="42">
        <v>56729.351450000002</v>
      </c>
      <c r="D23" s="40">
        <v>2.9999999999999997E-4</v>
      </c>
      <c r="E23" s="17">
        <f t="shared" si="0"/>
        <v>16485.784501387367</v>
      </c>
      <c r="F23" s="17">
        <f t="shared" si="4"/>
        <v>16486</v>
      </c>
      <c r="G23" s="17">
        <f t="shared" si="1"/>
        <v>-6.8112000000837725E-2</v>
      </c>
      <c r="K23" s="17">
        <f t="shared" si="5"/>
        <v>-6.8112000000837725E-2</v>
      </c>
      <c r="O23" s="17">
        <f t="shared" ca="1" si="2"/>
        <v>-6.8394128825331954E-2</v>
      </c>
      <c r="Q23" s="39">
        <f t="shared" si="3"/>
        <v>41710.851450000002</v>
      </c>
    </row>
    <row r="24" spans="1:18" s="17" customFormat="1" ht="12.75" customHeight="1">
      <c r="A24" s="40" t="s">
        <v>47</v>
      </c>
      <c r="B24" s="41" t="s">
        <v>48</v>
      </c>
      <c r="C24" s="42">
        <v>56729.351900000001</v>
      </c>
      <c r="D24" s="40">
        <v>2.9999999999999997E-4</v>
      </c>
      <c r="E24" s="17">
        <f t="shared" si="0"/>
        <v>16485.785925136126</v>
      </c>
      <c r="F24" s="17">
        <f t="shared" si="4"/>
        <v>16486</v>
      </c>
      <c r="G24" s="17">
        <f t="shared" si="1"/>
        <v>-6.7662000001291744E-2</v>
      </c>
      <c r="K24" s="17">
        <f t="shared" si="5"/>
        <v>-6.7662000001291744E-2</v>
      </c>
      <c r="O24" s="17">
        <f t="shared" ca="1" si="2"/>
        <v>-6.8394128825331954E-2</v>
      </c>
      <c r="Q24" s="39">
        <f t="shared" si="3"/>
        <v>41710.851900000001</v>
      </c>
    </row>
    <row r="25" spans="1:18" s="17" customFormat="1" ht="12.75" customHeight="1">
      <c r="A25" s="40" t="s">
        <v>49</v>
      </c>
      <c r="B25" s="41"/>
      <c r="C25" s="40">
        <v>56729.508800000003</v>
      </c>
      <c r="D25" s="40">
        <v>2.9999999999999997E-4</v>
      </c>
      <c r="E25" s="17">
        <f t="shared" si="0"/>
        <v>16486.282338871195</v>
      </c>
      <c r="F25" s="17">
        <f t="shared" si="4"/>
        <v>16486.5</v>
      </c>
      <c r="G25" s="17">
        <f t="shared" si="1"/>
        <v>-6.8795499995758291E-2</v>
      </c>
      <c r="K25" s="17">
        <f t="shared" si="5"/>
        <v>-6.8795499995758291E-2</v>
      </c>
      <c r="O25" s="17">
        <f t="shared" ca="1" si="2"/>
        <v>-6.8391585480345018E-2</v>
      </c>
      <c r="Q25" s="39">
        <f t="shared" si="3"/>
        <v>41711.008800000003</v>
      </c>
    </row>
    <row r="26" spans="1:18">
      <c r="A26" s="10" t="s">
        <v>50</v>
      </c>
      <c r="B26" s="11" t="s">
        <v>48</v>
      </c>
      <c r="C26" s="12">
        <v>57070.393859999996</v>
      </c>
      <c r="D26" s="12">
        <v>2.9999999999999997E-4</v>
      </c>
      <c r="E26" s="1">
        <f t="shared" si="0"/>
        <v>17564.803854878857</v>
      </c>
      <c r="F26" s="1">
        <f t="shared" si="4"/>
        <v>17565</v>
      </c>
      <c r="G26" s="1">
        <f t="shared" si="1"/>
        <v>-6.1995000003662426E-2</v>
      </c>
      <c r="K26" s="1">
        <f t="shared" si="5"/>
        <v>-6.1995000003662426E-2</v>
      </c>
      <c r="O26" s="1">
        <f t="shared" ca="1" si="2"/>
        <v>-6.2905590343507817E-2</v>
      </c>
      <c r="Q26" s="16">
        <f t="shared" si="3"/>
        <v>42051.893859999996</v>
      </c>
    </row>
    <row r="27" spans="1:18">
      <c r="A27" s="10" t="s">
        <v>50</v>
      </c>
      <c r="B27" s="11" t="s">
        <v>51</v>
      </c>
      <c r="C27" s="12">
        <v>57070.549160000002</v>
      </c>
      <c r="D27" s="12">
        <v>2.9999999999999997E-4</v>
      </c>
      <c r="E27" s="1">
        <f t="shared" si="0"/>
        <v>17565.295206396117</v>
      </c>
      <c r="F27" s="1">
        <f t="shared" si="4"/>
        <v>17565.5</v>
      </c>
      <c r="G27" s="1">
        <f t="shared" si="1"/>
        <v>-6.4728500001365319E-2</v>
      </c>
      <c r="K27" s="1">
        <f t="shared" si="5"/>
        <v>-6.4728500001365319E-2</v>
      </c>
      <c r="O27" s="1">
        <f t="shared" ca="1" si="2"/>
        <v>-6.2903046998520881E-2</v>
      </c>
      <c r="Q27" s="16">
        <f t="shared" si="3"/>
        <v>42052.049160000002</v>
      </c>
    </row>
    <row r="28" spans="1:18">
      <c r="A28" s="10" t="s">
        <v>50</v>
      </c>
      <c r="B28" s="11" t="s">
        <v>48</v>
      </c>
      <c r="C28" s="12">
        <v>57388.363680000002</v>
      </c>
      <c r="D28" s="12">
        <v>1E-4</v>
      </c>
      <c r="E28" s="1">
        <f t="shared" si="0"/>
        <v>18570.824160700107</v>
      </c>
      <c r="F28" s="1">
        <f t="shared" si="4"/>
        <v>18571</v>
      </c>
      <c r="G28" s="1">
        <f t="shared" si="1"/>
        <v>-5.5576999999175314E-2</v>
      </c>
      <c r="K28" s="1">
        <f t="shared" si="5"/>
        <v>-5.5576999999175314E-2</v>
      </c>
      <c r="O28" s="1">
        <f t="shared" ca="1" si="2"/>
        <v>-5.7788380229777433E-2</v>
      </c>
      <c r="Q28" s="16">
        <f t="shared" si="3"/>
        <v>42369.863680000002</v>
      </c>
    </row>
    <row r="29" spans="1:18">
      <c r="A29" s="10" t="s">
        <v>50</v>
      </c>
      <c r="B29" s="11" t="s">
        <v>51</v>
      </c>
      <c r="C29" s="12">
        <v>57388.518389999997</v>
      </c>
      <c r="D29" s="12">
        <v>1E-4</v>
      </c>
      <c r="E29" s="1">
        <f t="shared" si="0"/>
        <v>18571.313645524515</v>
      </c>
      <c r="F29" s="1">
        <f t="shared" si="4"/>
        <v>18571.5</v>
      </c>
      <c r="G29" s="1">
        <f t="shared" si="1"/>
        <v>-5.8900500007439405E-2</v>
      </c>
      <c r="K29" s="1">
        <f t="shared" si="5"/>
        <v>-5.8900500007439405E-2</v>
      </c>
      <c r="O29" s="1">
        <f t="shared" ca="1" si="2"/>
        <v>-5.7785836884790498E-2</v>
      </c>
      <c r="Q29" s="16">
        <f t="shared" si="3"/>
        <v>42370.018389999997</v>
      </c>
    </row>
    <row r="30" spans="1:18">
      <c r="A30" s="10" t="s">
        <v>50</v>
      </c>
      <c r="B30" s="11" t="s">
        <v>51</v>
      </c>
      <c r="C30" s="12">
        <v>57389.466569999997</v>
      </c>
      <c r="D30" s="12">
        <v>1E-4</v>
      </c>
      <c r="E30" s="1">
        <f t="shared" si="0"/>
        <v>18574.313579082904</v>
      </c>
      <c r="F30" s="1">
        <f t="shared" si="4"/>
        <v>18574.5</v>
      </c>
      <c r="G30" s="1">
        <f t="shared" si="1"/>
        <v>-5.8921500007272698E-2</v>
      </c>
      <c r="K30" s="1">
        <f t="shared" si="5"/>
        <v>-5.8921500007272698E-2</v>
      </c>
      <c r="O30" s="1">
        <f t="shared" ca="1" si="2"/>
        <v>-5.7770576814868829E-2</v>
      </c>
      <c r="Q30" s="16">
        <f t="shared" si="3"/>
        <v>42370.966569999997</v>
      </c>
    </row>
    <row r="31" spans="1:18">
      <c r="A31" s="13" t="s">
        <v>52</v>
      </c>
      <c r="B31" s="14" t="s">
        <v>51</v>
      </c>
      <c r="C31" s="15">
        <v>57799.571580000222</v>
      </c>
      <c r="D31" s="15">
        <v>2.9999999999999997E-4</v>
      </c>
      <c r="E31" s="1">
        <f>+(C31-C$7)/C$8</f>
        <v>19871.839135373895</v>
      </c>
      <c r="F31" s="1">
        <f t="shared" si="4"/>
        <v>19872</v>
      </c>
      <c r="G31" s="1">
        <f>+C31-(C$7+F31*C$8)</f>
        <v>-5.0843999779317528E-2</v>
      </c>
      <c r="K31" s="1">
        <f>+G31</f>
        <v>-5.0843999779317528E-2</v>
      </c>
      <c r="O31" s="1">
        <f ca="1">+C$11+C$12*$F31</f>
        <v>-5.1170596573750379E-2</v>
      </c>
      <c r="Q31" s="16">
        <f>+C31-15018.5</f>
        <v>42781.071580000222</v>
      </c>
    </row>
    <row r="32" spans="1:18">
      <c r="Q32" s="16"/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2024-03-09T04:07:41Z</dcterms:created>
  <dcterms:modified xsi:type="dcterms:W3CDTF">2024-03-09T04:07:41Z</dcterms:modified>
</cp:coreProperties>
</file>