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9DAE0B4-E166-47B0-B97F-958967CD8C7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9" i="1" l="1"/>
  <c r="D9" i="1"/>
  <c r="F16" i="1"/>
  <c r="F17" i="1" s="1"/>
  <c r="C17" i="1"/>
  <c r="C21" i="1"/>
  <c r="E21" i="1"/>
  <c r="F21" i="1"/>
  <c r="G21" i="1"/>
  <c r="H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U27" i="1"/>
  <c r="Q27" i="1"/>
  <c r="E28" i="1"/>
  <c r="F28" i="1"/>
  <c r="K28" i="1"/>
  <c r="Q28" i="1"/>
  <c r="E29" i="1"/>
  <c r="F29" i="1"/>
  <c r="K29" i="1"/>
  <c r="Q29" i="1"/>
  <c r="E30" i="1"/>
  <c r="F30" i="1"/>
  <c r="K30" i="1"/>
  <c r="Q30" i="1"/>
  <c r="E31" i="1"/>
  <c r="F31" i="1"/>
  <c r="K31" i="1"/>
  <c r="Q31" i="1"/>
  <c r="C12" i="1"/>
  <c r="C11" i="1"/>
  <c r="O21" i="1" l="1"/>
  <c r="O30" i="1"/>
  <c r="O29" i="1"/>
  <c r="O31" i="1"/>
  <c r="O26" i="1"/>
  <c r="O27" i="1"/>
  <c r="C15" i="1"/>
  <c r="O23" i="1"/>
  <c r="O24" i="1"/>
  <c r="O28" i="1"/>
  <c r="O2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<sst xmlns="http://schemas.openxmlformats.org/spreadsheetml/2006/main" count="69" uniqueCount="53">
  <si>
    <t>V0364 UMa / GSC 4172-0719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</si>
  <si>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</si>
  <si>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</si>
  <si>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</si>
  <si>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</si>
  <si>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</si>
  <si>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</si>
  <si>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</si>
  <si>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</si>
  <si>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</si>
  <si>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</si>
  <si>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</si>
  <si>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</si>
  <si>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</si>
  <si>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</si>
  <si>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</si>
  <si>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</si>
  <si>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</si>
  <si>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</si>
  <si>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</si>
  <si>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</si>
  <si>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</si>
  <si>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</si>
  <si>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</si>
  <si>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</si>
  <si>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</si>
  <si>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</si>
  <si>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</si>
  <si>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</si>
  <si>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</si>
  <si>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</si>
  <si>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</si>
  <si>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</si>
  <si>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</si>
  <si>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</si>
  <si>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</si>
  <si>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</si>
  <si>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</si>
  <si>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</si>
  <si>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</si>
  <si>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</si>
  <si>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</si>
  <si>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</si>
  <si>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</si>
  <si>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</si>
  <si>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6029</t>
  </si>
  <si>
    <t>I:</t>
  </si>
  <si>
    <t>II:</t>
  </si>
  <si>
    <t>OEJV 0179</t>
  </si>
  <si>
    <t>II</t>
  </si>
  <si>
    <t>I</t>
  </si>
  <si>
    <t>IBVS 6196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</si>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</sst>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/>
    <xf numFmtId="0" fontId="11" fillId="0" borderId="0"/>
  </cellStyleXfs>
  <cellXfs count="36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5" applyFont="1" applyAlignment="1">
      <alignment vertical="center" wrapText="1"/>
    </xf>
    <xf numFmtId="0" fontId="10" fillId="0" borderId="0" xfId="5" applyFont="1" applyAlignment="1">
      <alignment horizontal="center" vertical="center" wrapText="1"/>
    </xf>
    <xf numFmtId="0" fontId="10" fillId="0" borderId="0" xfId="5" applyFont="1" applyAlignment="1">
      <alignment horizontal="left" vertical="center" wrapText="1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 UMa - O-C Diagr.</a:t>
            </a:r>
          </a:p>
        </c:rich>
      </c:tx>
      <c:layout>
        <c:manualLayout>
          <c:xMode val="edge"/>
          <c:yMode val="edge"/>
          <c:x val="0.353823403259000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3693901080955"/>
          <c:y val="0.14414477469595582"/>
          <c:w val="0.82558783600325825"/>
          <c:h val="0.6396412160191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12483</c:v>
                </c:pt>
                <c:pt idx="2">
                  <c:v>12689.5</c:v>
                </c:pt>
                <c:pt idx="3">
                  <c:v>15490.5</c:v>
                </c:pt>
                <c:pt idx="4">
                  <c:v>15517</c:v>
                </c:pt>
                <c:pt idx="5">
                  <c:v>15547</c:v>
                </c:pt>
                <c:pt idx="6">
                  <c:v>15547.5</c:v>
                </c:pt>
                <c:pt idx="7">
                  <c:v>17509</c:v>
                </c:pt>
                <c:pt idx="8">
                  <c:v>17509</c:v>
                </c:pt>
                <c:pt idx="9">
                  <c:v>17509</c:v>
                </c:pt>
                <c:pt idx="10">
                  <c:v>17610</c:v>
                </c:pt>
              </c:numCache>
            </c:numRef>
          </c:xVal>
          <c:yVal>
            <c:numRef>
              <c:f>Active!$H$21:$H$310</c:f>
              <c:numCache>
                <c:formatCode>General</c:formatCode>
                <c:ptCount val="29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33-463D-9365-03A7249B292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12483</c:v>
                </c:pt>
                <c:pt idx="2">
                  <c:v>12689.5</c:v>
                </c:pt>
                <c:pt idx="3">
                  <c:v>15490.5</c:v>
                </c:pt>
                <c:pt idx="4">
                  <c:v>15517</c:v>
                </c:pt>
                <c:pt idx="5">
                  <c:v>15547</c:v>
                </c:pt>
                <c:pt idx="6">
                  <c:v>15547.5</c:v>
                </c:pt>
                <c:pt idx="7">
                  <c:v>17509</c:v>
                </c:pt>
                <c:pt idx="8">
                  <c:v>17509</c:v>
                </c:pt>
                <c:pt idx="9">
                  <c:v>17509</c:v>
                </c:pt>
                <c:pt idx="10">
                  <c:v>17610</c:v>
                </c:pt>
              </c:numCache>
            </c:numRef>
          </c:xVal>
          <c:yVal>
            <c:numRef>
              <c:f>Active!$I$21:$I$310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33-463D-9365-03A7249B292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12483</c:v>
                </c:pt>
                <c:pt idx="2">
                  <c:v>12689.5</c:v>
                </c:pt>
                <c:pt idx="3">
                  <c:v>15490.5</c:v>
                </c:pt>
                <c:pt idx="4">
                  <c:v>15517</c:v>
                </c:pt>
                <c:pt idx="5">
                  <c:v>15547</c:v>
                </c:pt>
                <c:pt idx="6">
                  <c:v>15547.5</c:v>
                </c:pt>
                <c:pt idx="7">
                  <c:v>17509</c:v>
                </c:pt>
                <c:pt idx="8">
                  <c:v>17509</c:v>
                </c:pt>
                <c:pt idx="9">
                  <c:v>17509</c:v>
                </c:pt>
                <c:pt idx="10">
                  <c:v>17610</c:v>
                </c:pt>
              </c:numCache>
            </c:numRef>
          </c:xVal>
          <c:yVal>
            <c:numRef>
              <c:f>Active!$J$21:$J$310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33-463D-9365-03A7249B292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12483</c:v>
                </c:pt>
                <c:pt idx="2">
                  <c:v>12689.5</c:v>
                </c:pt>
                <c:pt idx="3">
                  <c:v>15490.5</c:v>
                </c:pt>
                <c:pt idx="4">
                  <c:v>15517</c:v>
                </c:pt>
                <c:pt idx="5">
                  <c:v>15547</c:v>
                </c:pt>
                <c:pt idx="6">
                  <c:v>15547.5</c:v>
                </c:pt>
                <c:pt idx="7">
                  <c:v>17509</c:v>
                </c:pt>
                <c:pt idx="8">
                  <c:v>17509</c:v>
                </c:pt>
                <c:pt idx="9">
                  <c:v>17509</c:v>
                </c:pt>
                <c:pt idx="10">
                  <c:v>17610</c:v>
                </c:pt>
              </c:numCache>
            </c:numRef>
          </c:xVal>
          <c:yVal>
            <c:numRef>
              <c:f>Active!$K$21:$K$310</c:f>
              <c:numCache>
                <c:formatCode>General</c:formatCode>
                <c:ptCount val="290"/>
                <c:pt idx="1">
                  <c:v>2.2360000002663583E-2</c:v>
                </c:pt>
                <c:pt idx="2">
                  <c:v>2.2190000003320165E-2</c:v>
                </c:pt>
                <c:pt idx="3">
                  <c:v>2.6230000003124587E-2</c:v>
                </c:pt>
                <c:pt idx="4">
                  <c:v>2.7540000002773013E-2</c:v>
                </c:pt>
                <c:pt idx="5">
                  <c:v>2.636999999958789E-2</c:v>
                </c:pt>
                <c:pt idx="7">
                  <c:v>2.391999992687488E-2</c:v>
                </c:pt>
                <c:pt idx="8">
                  <c:v>2.455000006739283E-2</c:v>
                </c:pt>
                <c:pt idx="9">
                  <c:v>2.4810000184515957E-2</c:v>
                </c:pt>
                <c:pt idx="10">
                  <c:v>2.8560000122524798E-2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33-463D-9365-03A7249B292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12483</c:v>
                </c:pt>
                <c:pt idx="2">
                  <c:v>12689.5</c:v>
                </c:pt>
                <c:pt idx="3">
                  <c:v>15490.5</c:v>
                </c:pt>
                <c:pt idx="4">
                  <c:v>15517</c:v>
                </c:pt>
                <c:pt idx="5">
                  <c:v>15547</c:v>
                </c:pt>
                <c:pt idx="6">
                  <c:v>15547.5</c:v>
                </c:pt>
                <c:pt idx="7">
                  <c:v>17509</c:v>
                </c:pt>
                <c:pt idx="8">
                  <c:v>17509</c:v>
                </c:pt>
                <c:pt idx="9">
                  <c:v>17509</c:v>
                </c:pt>
                <c:pt idx="10">
                  <c:v>17610</c:v>
                </c:pt>
              </c:numCache>
            </c:numRef>
          </c:xVal>
          <c:yVal>
            <c:numRef>
              <c:f>Active!$L$21:$L$310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33-463D-9365-03A7249B29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12483</c:v>
                </c:pt>
                <c:pt idx="2">
                  <c:v>12689.5</c:v>
                </c:pt>
                <c:pt idx="3">
                  <c:v>15490.5</c:v>
                </c:pt>
                <c:pt idx="4">
                  <c:v>15517</c:v>
                </c:pt>
                <c:pt idx="5">
                  <c:v>15547</c:v>
                </c:pt>
                <c:pt idx="6">
                  <c:v>15547.5</c:v>
                </c:pt>
                <c:pt idx="7">
                  <c:v>17509</c:v>
                </c:pt>
                <c:pt idx="8">
                  <c:v>17509</c:v>
                </c:pt>
                <c:pt idx="9">
                  <c:v>17509</c:v>
                </c:pt>
                <c:pt idx="10">
                  <c:v>17610</c:v>
                </c:pt>
              </c:numCache>
            </c:numRef>
          </c:xVal>
          <c:yVal>
            <c:numRef>
              <c:f>Active!$M$21:$M$310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33-463D-9365-03A7249B29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12483</c:v>
                </c:pt>
                <c:pt idx="2">
                  <c:v>12689.5</c:v>
                </c:pt>
                <c:pt idx="3">
                  <c:v>15490.5</c:v>
                </c:pt>
                <c:pt idx="4">
                  <c:v>15517</c:v>
                </c:pt>
                <c:pt idx="5">
                  <c:v>15547</c:v>
                </c:pt>
                <c:pt idx="6">
                  <c:v>15547.5</c:v>
                </c:pt>
                <c:pt idx="7">
                  <c:v>17509</c:v>
                </c:pt>
                <c:pt idx="8">
                  <c:v>17509</c:v>
                </c:pt>
                <c:pt idx="9">
                  <c:v>17509</c:v>
                </c:pt>
                <c:pt idx="10">
                  <c:v>17610</c:v>
                </c:pt>
              </c:numCache>
            </c:numRef>
          </c:xVal>
          <c:yVal>
            <c:numRef>
              <c:f>Active!$N$21:$N$310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33-463D-9365-03A7249B29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12483</c:v>
                </c:pt>
                <c:pt idx="2">
                  <c:v>12689.5</c:v>
                </c:pt>
                <c:pt idx="3">
                  <c:v>15490.5</c:v>
                </c:pt>
                <c:pt idx="4">
                  <c:v>15517</c:v>
                </c:pt>
                <c:pt idx="5">
                  <c:v>15547</c:v>
                </c:pt>
                <c:pt idx="6">
                  <c:v>15547.5</c:v>
                </c:pt>
                <c:pt idx="7">
                  <c:v>17509</c:v>
                </c:pt>
                <c:pt idx="8">
                  <c:v>17509</c:v>
                </c:pt>
                <c:pt idx="9">
                  <c:v>17509</c:v>
                </c:pt>
                <c:pt idx="10">
                  <c:v>17610</c:v>
                </c:pt>
              </c:numCache>
            </c:numRef>
          </c:xVal>
          <c:yVal>
            <c:numRef>
              <c:f>Active!$O$21:$O$310</c:f>
              <c:numCache>
                <c:formatCode>General</c:formatCode>
                <c:ptCount val="290"/>
                <c:pt idx="0">
                  <c:v>3.2909622011863121E-3</c:v>
                </c:pt>
                <c:pt idx="1">
                  <c:v>2.2127660576360609E-2</c:v>
                </c:pt>
                <c:pt idx="2">
                  <c:v>2.2439266617734759E-2</c:v>
                </c:pt>
                <c:pt idx="3">
                  <c:v>2.6665942268528895E-2</c:v>
                </c:pt>
                <c:pt idx="4">
                  <c:v>2.6705930453015163E-2</c:v>
                </c:pt>
                <c:pt idx="5">
                  <c:v>2.6751200095829812E-2</c:v>
                </c:pt>
                <c:pt idx="6">
                  <c:v>2.6751954589876722E-2</c:v>
                </c:pt>
                <c:pt idx="7">
                  <c:v>2.9711834735907675E-2</c:v>
                </c:pt>
                <c:pt idx="8">
                  <c:v>2.9711834735907675E-2</c:v>
                </c:pt>
                <c:pt idx="9">
                  <c:v>2.9711834735907675E-2</c:v>
                </c:pt>
                <c:pt idx="10">
                  <c:v>2.9864242533383649E-2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33-463D-9365-03A7249B292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</c:v>
                </c:pt>
                <c:pt idx="1">
                  <c:v>12483</c:v>
                </c:pt>
                <c:pt idx="2">
                  <c:v>12689.5</c:v>
                </c:pt>
                <c:pt idx="3">
                  <c:v>15490.5</c:v>
                </c:pt>
                <c:pt idx="4">
                  <c:v>15517</c:v>
                </c:pt>
                <c:pt idx="5">
                  <c:v>15547</c:v>
                </c:pt>
                <c:pt idx="6">
                  <c:v>15547.5</c:v>
                </c:pt>
                <c:pt idx="7">
                  <c:v>17509</c:v>
                </c:pt>
                <c:pt idx="8">
                  <c:v>17509</c:v>
                </c:pt>
                <c:pt idx="9">
                  <c:v>17509</c:v>
                </c:pt>
                <c:pt idx="10">
                  <c:v>17610</c:v>
                </c:pt>
              </c:numCache>
            </c:numRef>
          </c:xVal>
          <c:yVal>
            <c:numRef>
              <c:f>Active!$U$21:$U$310</c:f>
              <c:numCache>
                <c:formatCode>General</c:formatCode>
                <c:ptCount val="290"/>
                <c:pt idx="6">
                  <c:v>-6.2349999992875382E-2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33-463D-9365-03A7249B2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897792"/>
        <c:axId val="1"/>
      </c:scatterChart>
      <c:valAx>
        <c:axId val="42589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897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90420537762615"/>
          <c:y val="0.91291543512015949"/>
          <c:w val="0.7121444002408245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BA71A1F-AE80-8FF1-8BAF-0727A5051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s="2" customFormat="1" ht="20.25" x14ac:dyDescent="0.2">
      <c r="A1" s="34" t="s">
        <v>0</v>
      </c>
    </row>
    <row r="2" spans="1:6" s="2" customFormat="1" ht="12.75" customHeight="1" x14ac:dyDescent="0.2">
      <c r="A2" s="2" t="s">
        <v>1</v>
      </c>
      <c r="B2" s="2" t="s">
        <v>2</v>
      </c>
      <c r="C2" s="3"/>
      <c r="D2" s="3"/>
    </row>
    <row r="3" spans="1:6" s="2" customFormat="1" ht="12.75" customHeight="1" x14ac:dyDescent="0.2"/>
    <row r="4" spans="1:6" s="2" customFormat="1" ht="12.75" customHeight="1" x14ac:dyDescent="0.2">
      <c r="A4" s="4" t="s">
        <v>3</v>
      </c>
      <c r="C4" s="5" t="s">
        <v>4</v>
      </c>
      <c r="D4" s="6" t="s">
        <v>4</v>
      </c>
    </row>
    <row r="5" spans="1:6" s="2" customFormat="1" ht="12.75" customHeight="1" x14ac:dyDescent="0.2">
      <c r="A5" s="7" t="s">
        <v>5</v>
      </c>
      <c r="C5" s="8">
        <v>-9.5</v>
      </c>
      <c r="D5" s="2" t="s">
        <v>6</v>
      </c>
    </row>
    <row r="6" spans="1:6" s="2" customFormat="1" ht="12.75" customHeight="1" x14ac:dyDescent="0.2">
      <c r="A6" s="4" t="s">
        <v>7</v>
      </c>
    </row>
    <row r="7" spans="1:6" s="2" customFormat="1" ht="12.75" customHeight="1" x14ac:dyDescent="0.2">
      <c r="A7" s="2" t="s">
        <v>8</v>
      </c>
      <c r="C7" s="35">
        <v>51419.866999999998</v>
      </c>
      <c r="D7" s="10" t="s">
        <v>9</v>
      </c>
    </row>
    <row r="8" spans="1:6" s="2" customFormat="1" ht="12.75" customHeight="1" x14ac:dyDescent="0.2">
      <c r="A8" s="2" t="s">
        <v>10</v>
      </c>
      <c r="C8" s="35">
        <v>0.36697999999999997</v>
      </c>
      <c r="D8" s="10" t="s">
        <v>9</v>
      </c>
    </row>
    <row r="9" spans="1:6" s="2" customFormat="1" ht="12.75" customHeight="1" x14ac:dyDescent="0.2">
      <c r="A9" s="11" t="s">
        <v>11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s="2" customFormat="1" ht="12.75" customHeight="1" x14ac:dyDescent="0.2">
      <c r="C10" s="15" t="s">
        <v>12</v>
      </c>
      <c r="D10" s="15" t="s">
        <v>13</v>
      </c>
    </row>
    <row r="11" spans="1:6" s="2" customFormat="1" ht="12.75" customHeight="1" x14ac:dyDescent="0.2">
      <c r="A11" s="2" t="s">
        <v>14</v>
      </c>
      <c r="C11" s="14">
        <f ca="1">INTERCEPT(INDIRECT($D$9):G992,INDIRECT($C$9):F992)</f>
        <v>3.2909622011863121E-3</v>
      </c>
      <c r="D11" s="3"/>
    </row>
    <row r="12" spans="1:6" s="2" customFormat="1" ht="12.75" customHeight="1" x14ac:dyDescent="0.2">
      <c r="A12" s="2" t="s">
        <v>15</v>
      </c>
      <c r="C12" s="14">
        <f ca="1">SLOPE(INDIRECT($D$9):G992,INDIRECT($C$9):F992)</f>
        <v>1.508988093821541E-6</v>
      </c>
      <c r="D12" s="3"/>
    </row>
    <row r="13" spans="1:6" s="2" customFormat="1" ht="12.75" customHeight="1" x14ac:dyDescent="0.2">
      <c r="A13" s="2" t="s">
        <v>16</v>
      </c>
      <c r="C13" s="3" t="s">
        <v>17</v>
      </c>
    </row>
    <row r="14" spans="1:6" s="2" customFormat="1" ht="12.75" customHeight="1" x14ac:dyDescent="0.2"/>
    <row r="15" spans="1:6" s="2" customFormat="1" ht="12.75" customHeight="1" x14ac:dyDescent="0.2">
      <c r="A15" s="4" t="s">
        <v>18</v>
      </c>
      <c r="C15" s="16">
        <f ca="1">(C7+C11)+(C8+C12)*INT(MAX(F21:F3533))</f>
        <v>57882.414664242533</v>
      </c>
      <c r="E15" s="11" t="s">
        <v>19</v>
      </c>
      <c r="F15" s="8">
        <v>1</v>
      </c>
    </row>
    <row r="16" spans="1:6" s="2" customFormat="1" ht="12.75" customHeight="1" x14ac:dyDescent="0.2">
      <c r="A16" s="4" t="s">
        <v>20</v>
      </c>
      <c r="C16" s="16">
        <f ca="1">+C8+C12</f>
        <v>0.36698150898809379</v>
      </c>
      <c r="E16" s="11" t="s">
        <v>21</v>
      </c>
      <c r="F16" s="14">
        <f ca="1">NOW()+15018.5+$C$5/24</f>
        <v>60378.737193749999</v>
      </c>
    </row>
    <row r="17" spans="1:21" s="2" customFormat="1" ht="12.75" customHeight="1" x14ac:dyDescent="0.2">
      <c r="A17" s="11" t="s">
        <v>22</v>
      </c>
      <c r="C17" s="2">
        <f>COUNT(C21:C2191)</f>
        <v>11</v>
      </c>
      <c r="E17" s="11" t="s">
        <v>23</v>
      </c>
      <c r="F17" s="14">
        <f ca="1">ROUND(2*(F16-$C$7)/$C$8,0)/2+F15</f>
        <v>24413.5</v>
      </c>
    </row>
    <row r="18" spans="1:21" s="2" customFormat="1" ht="12.75" customHeight="1" x14ac:dyDescent="0.2">
      <c r="A18" s="4" t="s">
        <v>24</v>
      </c>
      <c r="C18" s="17">
        <f ca="1">+C15</f>
        <v>57882.414664242533</v>
      </c>
      <c r="D18" s="18">
        <f ca="1">+C16</f>
        <v>0.36698150898809379</v>
      </c>
      <c r="E18" s="11" t="s">
        <v>25</v>
      </c>
      <c r="F18" s="14">
        <f ca="1">ROUND(2*(F16-$C$15)/$C$16,0)/2+F15</f>
        <v>6803.5</v>
      </c>
    </row>
    <row r="19" spans="1:21" s="2" customFormat="1" ht="12.75" customHeight="1" x14ac:dyDescent="0.2">
      <c r="E19" s="11" t="s">
        <v>26</v>
      </c>
      <c r="F19" s="19">
        <f ca="1">+$C$15+$C$16*F18-15018.5-$C$5/24</f>
        <v>45361.069193976364</v>
      </c>
    </row>
    <row r="20" spans="1:21" s="2" customFormat="1" ht="12.75" customHeight="1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0" t="s">
        <v>34</v>
      </c>
      <c r="I20" s="20" t="s">
        <v>35</v>
      </c>
      <c r="J20" s="20" t="s">
        <v>36</v>
      </c>
      <c r="K20" s="20" t="s">
        <v>37</v>
      </c>
      <c r="L20" s="20" t="s">
        <v>38</v>
      </c>
      <c r="M20" s="20" t="s">
        <v>39</v>
      </c>
      <c r="N20" s="20" t="s">
        <v>40</v>
      </c>
      <c r="O20" s="20" t="s">
        <v>41</v>
      </c>
      <c r="P20" s="20" t="s">
        <v>42</v>
      </c>
      <c r="Q20" s="15" t="s">
        <v>43</v>
      </c>
      <c r="U20" s="21" t="s">
        <v>44</v>
      </c>
    </row>
    <row r="21" spans="1:21" s="2" customFormat="1" ht="12.75" customHeight="1" x14ac:dyDescent="0.2">
      <c r="A21" s="2" t="s">
        <v>9</v>
      </c>
      <c r="C21" s="9">
        <f>C7</f>
        <v>51419.866999999998</v>
      </c>
      <c r="D21" s="9" t="s">
        <v>17</v>
      </c>
      <c r="E21" s="2">
        <f t="shared" ref="E21:E27" si="0">+(C21-C$7)/C$8</f>
        <v>0</v>
      </c>
      <c r="F21" s="2">
        <f t="shared" ref="F21:F31" si="1">ROUND(2*E21,0)/2</f>
        <v>0</v>
      </c>
      <c r="G21" s="2">
        <f t="shared" ref="G21:G26" si="2">+C21-(C$7+F21*C$8)</f>
        <v>0</v>
      </c>
      <c r="H21" s="2">
        <f>+G21</f>
        <v>0</v>
      </c>
      <c r="O21" s="2">
        <f t="shared" ref="O21:O27" ca="1" si="3">+C$11+C$12*$F21</f>
        <v>3.2909622011863121E-3</v>
      </c>
      <c r="Q21" s="22">
        <f t="shared" ref="Q21:Q27" si="4">+C21-15018.5</f>
        <v>36401.366999999998</v>
      </c>
    </row>
    <row r="22" spans="1:21" s="2" customFormat="1" ht="12.75" customHeight="1" x14ac:dyDescent="0.2">
      <c r="A22" s="23" t="s">
        <v>45</v>
      </c>
      <c r="B22" s="24" t="s">
        <v>46</v>
      </c>
      <c r="C22" s="23">
        <v>56000.900699999998</v>
      </c>
      <c r="D22" s="23">
        <v>2.9999999999999997E-4</v>
      </c>
      <c r="E22" s="2">
        <f t="shared" si="0"/>
        <v>12483.060929750942</v>
      </c>
      <c r="F22" s="2">
        <f t="shared" si="1"/>
        <v>12483</v>
      </c>
      <c r="G22" s="2">
        <f t="shared" si="2"/>
        <v>2.2360000002663583E-2</v>
      </c>
      <c r="K22" s="2">
        <f>+G22</f>
        <v>2.2360000002663583E-2</v>
      </c>
      <c r="O22" s="2">
        <f t="shared" ca="1" si="3"/>
        <v>2.2127660576360609E-2</v>
      </c>
      <c r="Q22" s="22">
        <f t="shared" si="4"/>
        <v>40982.400699999998</v>
      </c>
    </row>
    <row r="23" spans="1:21" s="2" customFormat="1" ht="12.75" customHeight="1" x14ac:dyDescent="0.2">
      <c r="A23" s="23" t="s">
        <v>45</v>
      </c>
      <c r="B23" s="24" t="s">
        <v>47</v>
      </c>
      <c r="C23" s="23">
        <v>56076.681900000003</v>
      </c>
      <c r="D23" s="23">
        <v>2.9999999999999997E-4</v>
      </c>
      <c r="E23" s="2">
        <f t="shared" si="0"/>
        <v>12689.560466510451</v>
      </c>
      <c r="F23" s="2">
        <f t="shared" si="1"/>
        <v>12689.5</v>
      </c>
      <c r="G23" s="2">
        <f t="shared" si="2"/>
        <v>2.2190000003320165E-2</v>
      </c>
      <c r="K23" s="2">
        <f>+G23</f>
        <v>2.2190000003320165E-2</v>
      </c>
      <c r="O23" s="2">
        <f t="shared" ca="1" si="3"/>
        <v>2.2439266617734759E-2</v>
      </c>
      <c r="Q23" s="22">
        <f t="shared" si="4"/>
        <v>41058.181900000003</v>
      </c>
    </row>
    <row r="24" spans="1:21" s="2" customFormat="1" ht="12.75" customHeight="1" x14ac:dyDescent="0.2">
      <c r="A24" s="25" t="s">
        <v>48</v>
      </c>
      <c r="B24" s="26" t="s">
        <v>49</v>
      </c>
      <c r="C24" s="27">
        <v>57104.596920000004</v>
      </c>
      <c r="D24" s="27">
        <v>2.9999999999999997E-4</v>
      </c>
      <c r="E24" s="2">
        <f t="shared" si="0"/>
        <v>15490.571475284773</v>
      </c>
      <c r="F24" s="2">
        <f t="shared" si="1"/>
        <v>15490.5</v>
      </c>
      <c r="G24" s="2">
        <f t="shared" si="2"/>
        <v>2.6230000003124587E-2</v>
      </c>
      <c r="K24" s="2">
        <f>+G24</f>
        <v>2.6230000003124587E-2</v>
      </c>
      <c r="O24" s="2">
        <f t="shared" ca="1" si="3"/>
        <v>2.6665942268528895E-2</v>
      </c>
      <c r="Q24" s="22">
        <f t="shared" si="4"/>
        <v>42086.096920000004</v>
      </c>
    </row>
    <row r="25" spans="1:21" s="2" customFormat="1" ht="12.75" customHeight="1" x14ac:dyDescent="0.2">
      <c r="A25" s="25" t="s">
        <v>48</v>
      </c>
      <c r="B25" s="26" t="s">
        <v>50</v>
      </c>
      <c r="C25" s="27">
        <v>57114.323199999999</v>
      </c>
      <c r="D25" s="27">
        <v>2.0000000000000001E-4</v>
      </c>
      <c r="E25" s="2">
        <f t="shared" si="0"/>
        <v>15517.075044961581</v>
      </c>
      <c r="F25" s="2">
        <f t="shared" si="1"/>
        <v>15517</v>
      </c>
      <c r="G25" s="2">
        <f t="shared" si="2"/>
        <v>2.7540000002773013E-2</v>
      </c>
      <c r="K25" s="2">
        <f>+G25</f>
        <v>2.7540000002773013E-2</v>
      </c>
      <c r="O25" s="2">
        <f t="shared" ca="1" si="3"/>
        <v>2.6705930453015163E-2</v>
      </c>
      <c r="Q25" s="22">
        <f t="shared" si="4"/>
        <v>42095.823199999999</v>
      </c>
    </row>
    <row r="26" spans="1:21" s="2" customFormat="1" ht="12.75" customHeight="1" x14ac:dyDescent="0.2">
      <c r="A26" s="25" t="s">
        <v>48</v>
      </c>
      <c r="B26" s="26" t="s">
        <v>50</v>
      </c>
      <c r="C26" s="27">
        <v>57125.331429999998</v>
      </c>
      <c r="D26" s="27">
        <v>4.0000000000000002E-4</v>
      </c>
      <c r="E26" s="2">
        <f t="shared" si="0"/>
        <v>15547.071856776936</v>
      </c>
      <c r="F26" s="2">
        <f t="shared" si="1"/>
        <v>15547</v>
      </c>
      <c r="G26" s="2">
        <f t="shared" si="2"/>
        <v>2.636999999958789E-2</v>
      </c>
      <c r="K26" s="2">
        <f>+G26</f>
        <v>2.636999999958789E-2</v>
      </c>
      <c r="O26" s="2">
        <f t="shared" ca="1" si="3"/>
        <v>2.6751200095829812E-2</v>
      </c>
      <c r="Q26" s="22">
        <f t="shared" si="4"/>
        <v>42106.831429999998</v>
      </c>
    </row>
    <row r="27" spans="1:21" s="2" customFormat="1" ht="12.75" customHeight="1" x14ac:dyDescent="0.2">
      <c r="A27" s="28" t="s">
        <v>51</v>
      </c>
      <c r="B27" s="29" t="s">
        <v>50</v>
      </c>
      <c r="C27" s="30">
        <v>57125.426200000002</v>
      </c>
      <c r="D27" s="30">
        <v>1E-4</v>
      </c>
      <c r="E27" s="2">
        <f t="shared" si="0"/>
        <v>15547.330099732966</v>
      </c>
      <c r="F27" s="2">
        <f t="shared" si="1"/>
        <v>15547.5</v>
      </c>
      <c r="O27" s="2">
        <f t="shared" ca="1" si="3"/>
        <v>2.6751954589876722E-2</v>
      </c>
      <c r="Q27" s="22">
        <f t="shared" si="4"/>
        <v>42106.926200000002</v>
      </c>
      <c r="U27" s="2">
        <f>+C27-(C$7+F27*C$8)</f>
        <v>-6.2349999992875382E-2</v>
      </c>
    </row>
    <row r="28" spans="1:21" s="2" customFormat="1" ht="12.75" customHeight="1" x14ac:dyDescent="0.2">
      <c r="A28" s="31" t="s">
        <v>52</v>
      </c>
      <c r="B28" s="32" t="s">
        <v>50</v>
      </c>
      <c r="C28" s="33">
        <v>57845.343739999924</v>
      </c>
      <c r="D28" s="33">
        <v>2.9999999999999997E-4</v>
      </c>
      <c r="E28" s="2">
        <f>+(C28-C$7)/C$8</f>
        <v>17509.065180663594</v>
      </c>
      <c r="F28" s="2">
        <f t="shared" si="1"/>
        <v>17509</v>
      </c>
      <c r="K28" s="2">
        <f>+C28-(C$7+F28*C$8)</f>
        <v>2.391999992687488E-2</v>
      </c>
      <c r="O28" s="2">
        <f ca="1">+C$11+C$12*$F28</f>
        <v>2.9711834735907675E-2</v>
      </c>
      <c r="Q28" s="22">
        <f>+C28-15018.5</f>
        <v>42826.843739999924</v>
      </c>
    </row>
    <row r="29" spans="1:21" s="2" customFormat="1" ht="12.75" customHeight="1" x14ac:dyDescent="0.2">
      <c r="A29" s="31" t="s">
        <v>52</v>
      </c>
      <c r="B29" s="32" t="s">
        <v>50</v>
      </c>
      <c r="C29" s="33">
        <v>57845.344370000064</v>
      </c>
      <c r="D29" s="33">
        <v>2.0000000000000001E-4</v>
      </c>
      <c r="E29" s="2">
        <f>+(C29-C$7)/C$8</f>
        <v>17509.066897378783</v>
      </c>
      <c r="F29" s="2">
        <f t="shared" si="1"/>
        <v>17509</v>
      </c>
      <c r="K29" s="2">
        <f>+C29-(C$7+F29*C$8)</f>
        <v>2.455000006739283E-2</v>
      </c>
      <c r="O29" s="2">
        <f ca="1">+C$11+C$12*$F29</f>
        <v>2.9711834735907675E-2</v>
      </c>
      <c r="Q29" s="22">
        <f>+C29-15018.5</f>
        <v>42826.844370000064</v>
      </c>
    </row>
    <row r="30" spans="1:21" s="2" customFormat="1" ht="12.75" customHeight="1" x14ac:dyDescent="0.2">
      <c r="A30" s="31" t="s">
        <v>52</v>
      </c>
      <c r="B30" s="32" t="s">
        <v>50</v>
      </c>
      <c r="C30" s="33">
        <v>57845.344630000181</v>
      </c>
      <c r="D30" s="33">
        <v>4.0000000000000002E-4</v>
      </c>
      <c r="E30" s="2">
        <f>+(C30-C$7)/C$8</f>
        <v>17509.06760586458</v>
      </c>
      <c r="F30" s="2">
        <f t="shared" si="1"/>
        <v>17509</v>
      </c>
      <c r="K30" s="2">
        <f>+C30-(C$7+F30*C$8)</f>
        <v>2.4810000184515957E-2</v>
      </c>
      <c r="O30" s="2">
        <f ca="1">+C$11+C$12*$F30</f>
        <v>2.9711834735907675E-2</v>
      </c>
      <c r="Q30" s="22">
        <f>+C30-15018.5</f>
        <v>42826.844630000181</v>
      </c>
    </row>
    <row r="31" spans="1:21" s="2" customFormat="1" ht="12.75" customHeight="1" x14ac:dyDescent="0.2">
      <c r="A31" s="31" t="s">
        <v>52</v>
      </c>
      <c r="B31" s="32" t="s">
        <v>50</v>
      </c>
      <c r="C31" s="33">
        <v>57882.413360000122</v>
      </c>
      <c r="D31" s="33">
        <v>1E-4</v>
      </c>
      <c r="E31" s="2">
        <f>+(C31-C$7)/C$8</f>
        <v>17610.07782440494</v>
      </c>
      <c r="F31" s="2">
        <f t="shared" si="1"/>
        <v>17610</v>
      </c>
      <c r="K31" s="2">
        <f>+C31-(C$7+F31*C$8)</f>
        <v>2.8560000122524798E-2</v>
      </c>
      <c r="O31" s="2">
        <f ca="1">+C$11+C$12*$F31</f>
        <v>2.9864242533383649E-2</v>
      </c>
      <c r="Q31" s="22">
        <f>+C31-15018.5</f>
        <v>42863.913360000122</v>
      </c>
    </row>
    <row r="32" spans="1:21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  <row r="36" s="2" customFormat="1" ht="12.75" customHeight="1" x14ac:dyDescent="0.2"/>
    <row r="37" s="2" customFormat="1" ht="12.75" customHeight="1" x14ac:dyDescent="0.2"/>
    <row r="38" s="2" customFormat="1" ht="12.75" customHeight="1" x14ac:dyDescent="0.2"/>
    <row r="39" s="2" customFormat="1" ht="12.75" customHeight="1" x14ac:dyDescent="0.2"/>
    <row r="40" s="2" customFormat="1" ht="12.75" customHeight="1" x14ac:dyDescent="0.2"/>
    <row r="41" s="2" customFormat="1" ht="12.75" customHeight="1" x14ac:dyDescent="0.2"/>
    <row r="42" s="2" customFormat="1" ht="12.75" customHeight="1" x14ac:dyDescent="0.2"/>
    <row r="43" s="2" customFormat="1" ht="12.75" customHeight="1" x14ac:dyDescent="0.2"/>
    <row r="44" s="2" customFormat="1" ht="12.75" customHeight="1" x14ac:dyDescent="0.2"/>
    <row r="45" s="2" customFormat="1" ht="12.75" customHeight="1" x14ac:dyDescent="0.2"/>
    <row r="46" s="2" customFormat="1" ht="12.75" customHeight="1" x14ac:dyDescent="0.2"/>
    <row r="47" s="2" customFormat="1" ht="12.7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2024-03-09T04:41:33Z</dcterms:created>
  <dcterms:modified xsi:type="dcterms:W3CDTF">2024-03-09T04:41:33Z</dcterms:modified>
</cp:coreProperties>
</file>