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3621D74-8E9D-4C6D-9B7A-80ACBABCD1F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Q22" i="1"/>
  <c r="D9" i="1"/>
  <c r="C21" i="1"/>
  <c r="E21" i="1"/>
  <c r="F21" i="1"/>
  <c r="G21" i="1"/>
  <c r="K21" i="1"/>
  <c r="E9" i="1"/>
  <c r="D8" i="1"/>
  <c r="F16" i="1"/>
  <c r="C17" i="1"/>
  <c r="Q21" i="1"/>
  <c r="C12" i="1"/>
  <c r="C11" i="1"/>
  <c r="C15" i="1" l="1"/>
  <c r="F18" i="1" s="1"/>
  <c r="O22" i="1"/>
  <c r="O21" i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<sst xmlns="http://schemas.openxmlformats.org/spreadsheetml/2006/main" count="54" uniqueCount="51">
  <si>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</si>
  <si>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</si>
  <si>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</si>
  <si>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</si>
  <si>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</si>
  <si>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</si>
  <si>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</si>
  <si>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</si>
  <si>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</si>
  <si>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</si>
  <si>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</si>
  <si>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</si>
  <si>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</si>
  <si>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</si>
  <si>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</si>
  <si>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</si>
  <si>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</si>
  <si>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</si>
  <si>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</si>
  <si>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</si>
  <si>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</si>
  <si>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</si>
  <si>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</si>
  <si>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</si>
  <si>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</si>
  <si>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</si>
  <si>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</si>
  <si>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</si>
  <si>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</si>
  <si>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</si>
  <si>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</si>
  <si>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</si>
  <si>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</si>
  <si>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</si>
  <si>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</si>
  <si>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</si>
  <si>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</si>
  <si>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</si>
  <si>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</si>
  <si>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</si>
  <si>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</si>
  <si>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V0385 UMa</t>
  </si>
  <si>
    <t>2014A</t>
  </si>
  <si>
    <t>G2521-0840</t>
  </si>
  <si>
    <t>EW</t>
  </si>
  <si>
    <t>pr_3?</t>
  </si>
  <si>
    <t>V0385 UMa / GSC 2521-0840</t>
  </si>
  <si>
    <t>as of 2020-02-19</t>
  </si>
  <si>
    <t>2009PZP.....9...20S</t>
  </si>
  <si>
    <t>VSX</t>
  </si>
  <si>
    <t>RHN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</si>
</sst>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0" borderId="1" xfId="0" applyNumberFormat="1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2" borderId="1" xfId="0" applyFont="1" applyFill="1" applyBorder="1" applyAlignment="1">
      <alignment vertical="center"/>
    </xf>
    <xf numFmtId="172" fontId="16" fillId="0" borderId="0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V0385 UMa - O-C Diagr.</a:t>
            </a:r>
          </a:p>
        </c:rich>
      </c:tx>
      <c:layout>
        <c:manualLayout>
          <c:xMode val="edge"/>
          <c:yMode val="edge"/>
          <c:x val="0.3639097744360902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11013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22-49AE-907B-C71C259FD9E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11013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22-49AE-907B-C71C259FD9E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11013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122-49AE-907B-C71C259FD9E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11013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-6.3719999998284038E-2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122-49AE-907B-C71C259FD9E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11013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122-49AE-907B-C71C259FD9E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11013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122-49AE-907B-C71C259FD9E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11013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122-49AE-907B-C71C259FD9E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11013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-6.3719999998284038E-2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122-49AE-907B-C71C259FD9E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11013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122-49AE-907B-C71C259FD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215936"/>
        <c:axId val="1"/>
      </c:scatterChart>
      <c:valAx>
        <c:axId val="717215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215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C92056E-0421-3E01-7593-C1491BC5DA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8" s="15" customFormat="1" ht="20.25" x14ac:dyDescent="0.2">
      <c r="A1" s="43" t="s">
        <v>46</v>
      </c>
      <c r="F1" s="7" t="s">
        <v>41</v>
      </c>
      <c r="G1" s="3" t="s">
        <v>42</v>
      </c>
      <c r="H1" s="4"/>
      <c r="I1" s="8" t="s">
        <v>43</v>
      </c>
      <c r="J1" s="9" t="s">
        <v>41</v>
      </c>
      <c r="K1" s="10">
        <v>11.033005040000001</v>
      </c>
      <c r="L1" s="5">
        <v>36.224760400000001</v>
      </c>
      <c r="M1" s="6">
        <v>54847.871800000001</v>
      </c>
      <c r="N1" s="6">
        <v>0.36784</v>
      </c>
      <c r="O1" s="11" t="s">
        <v>44</v>
      </c>
      <c r="P1" s="11">
        <v>12.23</v>
      </c>
      <c r="Q1" s="11">
        <v>13.37</v>
      </c>
      <c r="R1" s="12" t="s">
        <v>45</v>
      </c>
    </row>
    <row r="2" spans="1:18" s="15" customFormat="1" ht="12.95" customHeight="1" x14ac:dyDescent="0.2">
      <c r="A2" s="15" t="s">
        <v>23</v>
      </c>
      <c r="B2" s="15" t="s">
        <v>44</v>
      </c>
      <c r="C2" s="16"/>
      <c r="D2" s="17"/>
    </row>
    <row r="3" spans="1:18" s="15" customFormat="1" ht="12.95" customHeight="1" thickBot="1" x14ac:dyDescent="0.25"/>
    <row r="4" spans="1:18" s="15" customFormat="1" ht="12.95" customHeight="1" thickTop="1" thickBot="1" x14ac:dyDescent="0.25">
      <c r="A4" s="18" t="s">
        <v>0</v>
      </c>
      <c r="C4" s="19">
        <v>54847.871800000001</v>
      </c>
      <c r="D4" s="20">
        <v>0.36784</v>
      </c>
      <c r="E4" s="21" t="s">
        <v>47</v>
      </c>
    </row>
    <row r="5" spans="1:18" s="15" customFormat="1" ht="12.95" customHeight="1" thickTop="1" x14ac:dyDescent="0.2">
      <c r="A5" s="22" t="s">
        <v>28</v>
      </c>
      <c r="C5" s="23">
        <v>-9.5</v>
      </c>
      <c r="D5" s="15" t="s">
        <v>29</v>
      </c>
    </row>
    <row r="6" spans="1:18" s="15" customFormat="1" ht="12.95" customHeight="1" x14ac:dyDescent="0.2">
      <c r="A6" s="18" t="s">
        <v>1</v>
      </c>
    </row>
    <row r="7" spans="1:18" s="15" customFormat="1" ht="12.95" customHeight="1" x14ac:dyDescent="0.2">
      <c r="A7" s="15" t="s">
        <v>2</v>
      </c>
      <c r="C7" s="44">
        <v>54847.871800000001</v>
      </c>
      <c r="D7" s="25" t="e">
        <v>#N/A</v>
      </c>
    </row>
    <row r="8" spans="1:18" s="15" customFormat="1" ht="12.95" customHeight="1" x14ac:dyDescent="0.2">
      <c r="A8" s="15" t="s">
        <v>3</v>
      </c>
      <c r="C8" s="44">
        <v>0.36784</v>
      </c>
      <c r="D8" s="25" t="e">
        <f>D7</f>
        <v>#N/A</v>
      </c>
    </row>
    <row r="9" spans="1:18" s="15" customFormat="1" ht="12.95" customHeight="1" x14ac:dyDescent="0.2">
      <c r="A9" s="26" t="s">
        <v>32</v>
      </c>
      <c r="C9" s="27">
        <v>21</v>
      </c>
      <c r="D9" s="28" t="str">
        <f>"F"&amp;C9</f>
        <v>F21</v>
      </c>
      <c r="E9" s="29" t="str">
        <f>"G"&amp;C9</f>
        <v>G21</v>
      </c>
    </row>
    <row r="10" spans="1:18" s="15" customFormat="1" ht="12.95" customHeight="1" thickBot="1" x14ac:dyDescent="0.25">
      <c r="C10" s="30" t="s">
        <v>19</v>
      </c>
      <c r="D10" s="30" t="s">
        <v>20</v>
      </c>
    </row>
    <row r="11" spans="1:18" s="15" customFormat="1" ht="12.95" customHeight="1" x14ac:dyDescent="0.2">
      <c r="A11" s="15" t="s">
        <v>15</v>
      </c>
      <c r="C11" s="29">
        <f ca="1">INTERCEPT(INDIRECT($E$9):G992,INDIRECT($D$9):F992)</f>
        <v>0</v>
      </c>
      <c r="D11" s="17"/>
    </row>
    <row r="12" spans="1:18" s="15" customFormat="1" ht="12.95" customHeight="1" x14ac:dyDescent="0.2">
      <c r="A12" s="15" t="s">
        <v>16</v>
      </c>
      <c r="C12" s="29">
        <f ca="1">SLOPE(INDIRECT($E$9):G992,INDIRECT($D$9):F992)</f>
        <v>-5.785889403276495E-6</v>
      </c>
      <c r="D12" s="17"/>
    </row>
    <row r="13" spans="1:18" s="15" customFormat="1" ht="12.95" customHeight="1" x14ac:dyDescent="0.2">
      <c r="A13" s="15" t="s">
        <v>18</v>
      </c>
      <c r="C13" s="17" t="s">
        <v>13</v>
      </c>
    </row>
    <row r="14" spans="1:18" s="15" customFormat="1" ht="12.95" customHeight="1" x14ac:dyDescent="0.2"/>
    <row r="15" spans="1:18" s="15" customFormat="1" ht="12.95" customHeight="1" x14ac:dyDescent="0.2">
      <c r="A15" s="31" t="s">
        <v>17</v>
      </c>
      <c r="C15" s="32">
        <f ca="1">(C7+C11)+(C8+C12)*INT(MAX(F21:F3533))</f>
        <v>58898.83</v>
      </c>
      <c r="E15" s="21" t="s">
        <v>34</v>
      </c>
      <c r="F15" s="33">
        <v>1</v>
      </c>
    </row>
    <row r="16" spans="1:18" s="15" customFormat="1" ht="12.95" customHeight="1" x14ac:dyDescent="0.2">
      <c r="A16" s="18" t="s">
        <v>4</v>
      </c>
      <c r="C16" s="34">
        <f ca="1">+C8+C12</f>
        <v>0.36783421411059675</v>
      </c>
      <c r="E16" s="21" t="s">
        <v>30</v>
      </c>
      <c r="F16" s="34">
        <f ca="1">NOW()+15018.5+$C$5/24</f>
        <v>60378.740262615742</v>
      </c>
    </row>
    <row r="17" spans="1:21" s="15" customFormat="1" ht="12.95" customHeight="1" thickBot="1" x14ac:dyDescent="0.25">
      <c r="A17" s="21" t="s">
        <v>27</v>
      </c>
      <c r="C17" s="15">
        <f>COUNT(C21:C2191)</f>
        <v>2</v>
      </c>
      <c r="E17" s="21" t="s">
        <v>35</v>
      </c>
      <c r="F17" s="35">
        <f ca="1">ROUND(2*(F16-$C$7)/$C$8,0)/2+F15</f>
        <v>15037</v>
      </c>
    </row>
    <row r="18" spans="1:21" s="15" customFormat="1" ht="12.95" customHeight="1" thickTop="1" thickBot="1" x14ac:dyDescent="0.25">
      <c r="A18" s="18" t="s">
        <v>5</v>
      </c>
      <c r="C18" s="36">
        <f ca="1">+C15</f>
        <v>58898.83</v>
      </c>
      <c r="D18" s="37">
        <f ca="1">+C16</f>
        <v>0.36783421411059675</v>
      </c>
      <c r="E18" s="21" t="s">
        <v>36</v>
      </c>
      <c r="F18" s="29">
        <f ca="1">ROUND(2*(F16-$C$15)/$C$16,0)/2+F15</f>
        <v>4024.5</v>
      </c>
    </row>
    <row r="19" spans="1:21" s="15" customFormat="1" ht="12.95" customHeight="1" thickTop="1" x14ac:dyDescent="0.2">
      <c r="E19" s="21" t="s">
        <v>31</v>
      </c>
      <c r="F19" s="38">
        <f ca="1">+$C$15+$C$16*F18-15018.5-$C$5/24</f>
        <v>45361.074628021437</v>
      </c>
    </row>
    <row r="20" spans="1:21" s="15" customFormat="1" ht="12.95" customHeight="1" thickBot="1" x14ac:dyDescent="0.25">
      <c r="A20" s="30" t="s">
        <v>6</v>
      </c>
      <c r="B20" s="30" t="s">
        <v>7</v>
      </c>
      <c r="C20" s="30" t="s">
        <v>8</v>
      </c>
      <c r="D20" s="30" t="s">
        <v>12</v>
      </c>
      <c r="E20" s="30" t="s">
        <v>9</v>
      </c>
      <c r="F20" s="30" t="s">
        <v>10</v>
      </c>
      <c r="G20" s="30" t="s">
        <v>11</v>
      </c>
      <c r="H20" s="39" t="s">
        <v>37</v>
      </c>
      <c r="I20" s="39" t="s">
        <v>38</v>
      </c>
      <c r="J20" s="39" t="s">
        <v>39</v>
      </c>
      <c r="K20" s="39" t="s">
        <v>40</v>
      </c>
      <c r="L20" s="39" t="s">
        <v>24</v>
      </c>
      <c r="M20" s="39" t="s">
        <v>25</v>
      </c>
      <c r="N20" s="39" t="s">
        <v>26</v>
      </c>
      <c r="O20" s="39" t="s">
        <v>22</v>
      </c>
      <c r="P20" s="40" t="s">
        <v>21</v>
      </c>
      <c r="Q20" s="30" t="s">
        <v>14</v>
      </c>
      <c r="U20" s="41" t="s">
        <v>33</v>
      </c>
    </row>
    <row r="21" spans="1:21" s="15" customFormat="1" ht="12.95" customHeight="1" x14ac:dyDescent="0.2">
      <c r="A21" s="15" t="s">
        <v>49</v>
      </c>
      <c r="C21" s="24">
        <f>C$7</f>
        <v>54847.871800000001</v>
      </c>
      <c r="D21" s="24" t="s">
        <v>13</v>
      </c>
      <c r="E21" s="15">
        <f>+(C21-C$7)/C$8</f>
        <v>0</v>
      </c>
      <c r="F21" s="15">
        <f>ROUND(2*E21,0)/2</f>
        <v>0</v>
      </c>
      <c r="G21" s="15">
        <f>+C21-(C$7+F21*C$8)</f>
        <v>0</v>
      </c>
      <c r="K21" s="15">
        <f>+G21</f>
        <v>0</v>
      </c>
      <c r="O21" s="15">
        <f ca="1">+C$11+C$12*$F21</f>
        <v>0</v>
      </c>
      <c r="Q21" s="42">
        <f>+C21-15018.5</f>
        <v>39829.371800000001</v>
      </c>
      <c r="S21" s="15" t="s">
        <v>48</v>
      </c>
    </row>
    <row r="22" spans="1:21" s="15" customFormat="1" ht="12.95" customHeight="1" x14ac:dyDescent="0.2">
      <c r="A22" s="18" t="s">
        <v>50</v>
      </c>
      <c r="C22" s="13">
        <v>58898.83</v>
      </c>
      <c r="D22" s="14">
        <v>1E-3</v>
      </c>
      <c r="E22" s="15">
        <f>+(C22-C$7)/C$8</f>
        <v>11012.82677250979</v>
      </c>
      <c r="F22" s="15">
        <f>ROUND(2*E22,0)/2</f>
        <v>11013</v>
      </c>
      <c r="G22" s="15">
        <f>+C22-(C$7+F22*C$8)</f>
        <v>-6.3719999998284038E-2</v>
      </c>
      <c r="K22" s="15">
        <f>+G22</f>
        <v>-6.3719999998284038E-2</v>
      </c>
      <c r="O22" s="15">
        <f ca="1">+C$11+C$12*$F22</f>
        <v>-6.3719999998284038E-2</v>
      </c>
      <c r="Q22" s="42">
        <f>+C22-15018.5</f>
        <v>43880.33</v>
      </c>
    </row>
    <row r="23" spans="1:21" s="15" customFormat="1" ht="12.95" customHeight="1" x14ac:dyDescent="0.2">
      <c r="C23" s="24"/>
      <c r="D23" s="24"/>
      <c r="Q23" s="42"/>
    </row>
    <row r="24" spans="1:21" s="15" customFormat="1" ht="12.95" customHeight="1" x14ac:dyDescent="0.2">
      <c r="C24" s="24"/>
      <c r="D24" s="24"/>
      <c r="Q24" s="42"/>
    </row>
    <row r="25" spans="1:21" s="15" customFormat="1" ht="12.95" customHeight="1" x14ac:dyDescent="0.2">
      <c r="C25" s="24"/>
      <c r="D25" s="24"/>
      <c r="Q25" s="42"/>
    </row>
    <row r="26" spans="1:21" s="15" customFormat="1" ht="12.95" customHeight="1" x14ac:dyDescent="0.2">
      <c r="C26" s="24"/>
      <c r="D26" s="24"/>
      <c r="Q26" s="42"/>
    </row>
    <row r="27" spans="1:21" s="15" customFormat="1" ht="12.95" customHeight="1" x14ac:dyDescent="0.2">
      <c r="C27" s="24"/>
      <c r="D27" s="24"/>
      <c r="Q27" s="42"/>
    </row>
    <row r="28" spans="1:21" s="15" customFormat="1" ht="12.95" customHeight="1" x14ac:dyDescent="0.2">
      <c r="C28" s="24"/>
      <c r="D28" s="24"/>
      <c r="Q28" s="42"/>
    </row>
    <row r="29" spans="1:21" s="15" customFormat="1" ht="12.95" customHeight="1" x14ac:dyDescent="0.2">
      <c r="C29" s="24"/>
      <c r="D29" s="24"/>
      <c r="Q29" s="42"/>
    </row>
    <row r="30" spans="1:21" s="15" customFormat="1" ht="12.95" customHeight="1" x14ac:dyDescent="0.2">
      <c r="C30" s="24"/>
      <c r="D30" s="24"/>
      <c r="Q30" s="42"/>
    </row>
    <row r="31" spans="1:21" x14ac:dyDescent="0.2">
      <c r="C31" s="2"/>
      <c r="D31" s="2"/>
      <c r="Q31" s="1"/>
    </row>
    <row r="32" spans="1:21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2024-03-09T04:45:58Z</dcterms:modified>
</cp:coreProperties>
</file>