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AFD37B-A168-4605-8C01-58DBB8F90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80" i="1"/>
  <c r="F80" i="1"/>
  <c r="G80" i="1" s="1"/>
  <c r="K80" i="1" s="1"/>
  <c r="Q80" i="1"/>
  <c r="E75" i="1"/>
  <c r="F75" i="1"/>
  <c r="G75" i="1"/>
  <c r="K75" i="1"/>
  <c r="E76" i="1"/>
  <c r="F76" i="1"/>
  <c r="G76" i="1"/>
  <c r="K76" i="1"/>
  <c r="E77" i="1"/>
  <c r="F77" i="1"/>
  <c r="G77" i="1"/>
  <c r="K77" i="1"/>
  <c r="E78" i="1"/>
  <c r="F78" i="1"/>
  <c r="G78" i="1"/>
  <c r="K7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J60" i="1"/>
  <c r="E61" i="1"/>
  <c r="F61" i="1"/>
  <c r="G61" i="1"/>
  <c r="K61" i="1"/>
  <c r="E62" i="1"/>
  <c r="F62" i="1"/>
  <c r="G62" i="1"/>
  <c r="J62" i="1"/>
  <c r="E63" i="1"/>
  <c r="F63" i="1"/>
  <c r="G63" i="1"/>
  <c r="K63" i="1"/>
  <c r="E64" i="1"/>
  <c r="F64" i="1"/>
  <c r="G64" i="1"/>
  <c r="K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J72" i="1"/>
  <c r="E73" i="1"/>
  <c r="F73" i="1"/>
  <c r="G73" i="1"/>
  <c r="E74" i="1"/>
  <c r="F74" i="1"/>
  <c r="G74" i="1"/>
  <c r="K74" i="1"/>
  <c r="Q75" i="1"/>
  <c r="Q76" i="1"/>
  <c r="Q77" i="1"/>
  <c r="Q78" i="1"/>
  <c r="Q74" i="1"/>
  <c r="E21" i="1"/>
  <c r="F21" i="1"/>
  <c r="Q73" i="1"/>
  <c r="K73" i="1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C9" i="1"/>
  <c r="D9" i="1"/>
  <c r="Q72" i="1"/>
  <c r="Q71" i="1"/>
  <c r="Q67" i="1"/>
  <c r="Q68" i="1"/>
  <c r="Q69" i="1"/>
  <c r="Q70" i="1"/>
  <c r="F16" i="1"/>
  <c r="F17" i="1" s="1"/>
  <c r="C17" i="1"/>
  <c r="Q66" i="1"/>
  <c r="Q65" i="1"/>
  <c r="I57" i="1"/>
  <c r="E48" i="1"/>
  <c r="F48" i="1"/>
  <c r="G48" i="1"/>
  <c r="J48" i="1"/>
  <c r="E45" i="1"/>
  <c r="F45" i="1"/>
  <c r="G45" i="1"/>
  <c r="I45" i="1"/>
  <c r="E46" i="1"/>
  <c r="F46" i="1"/>
  <c r="G46" i="1"/>
  <c r="J46" i="1"/>
  <c r="E43" i="1"/>
  <c r="F43" i="1"/>
  <c r="G43" i="1"/>
  <c r="I43" i="1"/>
  <c r="E42" i="1"/>
  <c r="F42" i="1"/>
  <c r="G42" i="1"/>
  <c r="I42" i="1"/>
  <c r="E41" i="1"/>
  <c r="F41" i="1"/>
  <c r="G41" i="1"/>
  <c r="I41" i="1"/>
  <c r="E40" i="1"/>
  <c r="F40" i="1"/>
  <c r="G40" i="1"/>
  <c r="I40" i="1"/>
  <c r="E39" i="1"/>
  <c r="F39" i="1"/>
  <c r="G39" i="1"/>
  <c r="I39" i="1"/>
  <c r="E38" i="1"/>
  <c r="F38" i="1"/>
  <c r="G38" i="1"/>
  <c r="I38" i="1"/>
  <c r="E37" i="1"/>
  <c r="F37" i="1"/>
  <c r="G37" i="1"/>
  <c r="I37" i="1"/>
  <c r="E36" i="1"/>
  <c r="F36" i="1"/>
  <c r="G36" i="1"/>
  <c r="I36" i="1"/>
  <c r="E35" i="1"/>
  <c r="F35" i="1"/>
  <c r="G35" i="1"/>
  <c r="I35" i="1"/>
  <c r="E34" i="1"/>
  <c r="F34" i="1"/>
  <c r="G34" i="1"/>
  <c r="I34" i="1"/>
  <c r="E33" i="1"/>
  <c r="F33" i="1"/>
  <c r="G33" i="1"/>
  <c r="I33" i="1"/>
  <c r="E32" i="1"/>
  <c r="F32" i="1"/>
  <c r="G32" i="1"/>
  <c r="I32" i="1"/>
  <c r="E31" i="1"/>
  <c r="F31" i="1"/>
  <c r="G31" i="1"/>
  <c r="I31" i="1"/>
  <c r="E30" i="1"/>
  <c r="F30" i="1"/>
  <c r="G30" i="1"/>
  <c r="I30" i="1"/>
  <c r="E29" i="1"/>
  <c r="F29" i="1"/>
  <c r="G29" i="1"/>
  <c r="I29" i="1"/>
  <c r="E28" i="1"/>
  <c r="F28" i="1"/>
  <c r="G28" i="1"/>
  <c r="I28" i="1"/>
  <c r="Q63" i="1"/>
  <c r="Q61" i="1"/>
  <c r="Q59" i="1"/>
  <c r="Q57" i="1"/>
  <c r="Q55" i="1"/>
  <c r="Q53" i="1"/>
  <c r="Q52" i="1"/>
  <c r="Q51" i="1"/>
  <c r="Q50" i="1"/>
  <c r="Q49" i="1"/>
  <c r="Q48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64" i="1"/>
  <c r="Q62" i="1"/>
  <c r="Q60" i="1"/>
  <c r="Q58" i="1"/>
  <c r="Q56" i="1"/>
  <c r="Q54" i="1"/>
  <c r="Q47" i="1"/>
  <c r="Q44" i="1"/>
  <c r="Q27" i="1"/>
  <c r="Q26" i="1"/>
  <c r="Q25" i="1"/>
  <c r="Q24" i="1"/>
  <c r="Q23" i="1"/>
  <c r="Q22" i="1"/>
  <c r="Q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44" i="1"/>
  <c r="F44" i="1"/>
  <c r="G44" i="1"/>
  <c r="I44" i="1"/>
  <c r="E47" i="1"/>
  <c r="F47" i="1"/>
  <c r="G47" i="1"/>
  <c r="I47" i="1"/>
  <c r="H21" i="1"/>
  <c r="C12" i="1"/>
  <c r="C11" i="1"/>
  <c r="O80" i="1" l="1"/>
  <c r="O79" i="1"/>
  <c r="C16" i="1"/>
  <c r="D18" i="1" s="1"/>
  <c r="O64" i="1"/>
  <c r="O23" i="1"/>
  <c r="O74" i="1"/>
  <c r="O63" i="1"/>
  <c r="O39" i="1"/>
  <c r="O29" i="1"/>
  <c r="O41" i="1"/>
  <c r="O77" i="1"/>
  <c r="O61" i="1"/>
  <c r="O46" i="1"/>
  <c r="O33" i="1"/>
  <c r="O55" i="1"/>
  <c r="O44" i="1"/>
  <c r="O34" i="1"/>
  <c r="O59" i="1"/>
  <c r="O38" i="1"/>
  <c r="O42" i="1"/>
  <c r="O40" i="1"/>
  <c r="O60" i="1"/>
  <c r="O25" i="1"/>
  <c r="O57" i="1"/>
  <c r="O62" i="1"/>
  <c r="O32" i="1"/>
  <c r="O49" i="1"/>
  <c r="O66" i="1"/>
  <c r="O68" i="1"/>
  <c r="C15" i="1"/>
  <c r="O52" i="1"/>
  <c r="O35" i="1"/>
  <c r="O56" i="1"/>
  <c r="O30" i="1"/>
  <c r="O21" i="1"/>
  <c r="O70" i="1"/>
  <c r="O75" i="1"/>
  <c r="O71" i="1"/>
  <c r="O76" i="1"/>
  <c r="O47" i="1"/>
  <c r="O65" i="1"/>
  <c r="O67" i="1"/>
  <c r="O27" i="1"/>
  <c r="O24" i="1"/>
  <c r="O72" i="1"/>
  <c r="O45" i="1"/>
  <c r="O43" i="1"/>
  <c r="O28" i="1"/>
  <c r="O48" i="1"/>
  <c r="O26" i="1"/>
  <c r="O50" i="1"/>
  <c r="O36" i="1"/>
  <c r="O54" i="1"/>
  <c r="O37" i="1"/>
  <c r="O22" i="1"/>
  <c r="O31" i="1"/>
  <c r="O51" i="1"/>
  <c r="O78" i="1"/>
  <c r="O53" i="1"/>
  <c r="O58" i="1"/>
  <c r="O73" i="1"/>
  <c r="O69" i="1"/>
  <c r="C18" i="1" l="1"/>
  <c r="F18" i="1"/>
  <c r="F19" i="1" s="1"/>
</calcChain>
</file>

<file path=xl/sharedStrings.xml><?xml version="1.0" encoding="utf-8"?>
<sst xmlns="http://schemas.openxmlformats.org/spreadsheetml/2006/main" count="500" uniqueCount="268">
  <si>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</si>
  <si>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</si>
  <si>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</si>
  <si>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</si>
  <si>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</si>
  <si>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</si>
  <si>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</si>
  <si>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</si>
  <si>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</si>
  <si>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</si>
  <si>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</si>
  <si>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</si>
  <si>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</si>
  <si>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</si>
  <si>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</si>
  <si>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</si>
  <si>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</si>
  <si>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</si>
  <si>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</si>
  <si>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</si>
  <si>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</si>
  <si>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</si>
  <si>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</si>
  <si>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</si>
  <si>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</si>
  <si>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</si>
  <si>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</si>
  <si>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</si>
  <si>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Bull.74</t>
  </si>
  <si>
    <t>B</t>
  </si>
  <si>
    <t>BBSAG Bull.75</t>
  </si>
  <si>
    <t>BBSAG Bull.76</t>
  </si>
  <si>
    <t>BBSAG Bull.77</t>
  </si>
  <si>
    <t>BBSAG Bull.79</t>
  </si>
  <si>
    <t>Dedoch A</t>
  </si>
  <si>
    <t>BBSAG Bull.108</t>
  </si>
  <si>
    <t>BBSAG Bull.111</t>
  </si>
  <si>
    <t>BBSAG Bull.114</t>
  </si>
  <si>
    <t>II</t>
  </si>
  <si>
    <t>IBVS 5484</t>
  </si>
  <si>
    <t>I</t>
  </si>
  <si>
    <t>EW/KW</t>
  </si>
  <si>
    <t>ROTSE</t>
  </si>
  <si>
    <t>J.Borovicka BRNO 30</t>
  </si>
  <si>
    <t>A.Dedoch BRNO 30</t>
  </si>
  <si>
    <t>J.Borovicka BRNO 31</t>
  </si>
  <si>
    <t>A.Dedoch BRNO 31</t>
  </si>
  <si>
    <t>P.Stepan BRNO 31</t>
  </si>
  <si>
    <t>M.Nesvara BRNO 31</t>
  </si>
  <si>
    <t>F.Hroch BRNO 31</t>
  </si>
  <si>
    <t>P.Lutcha BRNO 31</t>
  </si>
  <si>
    <t>A.Dedoch BBS 108</t>
  </si>
  <si>
    <t>A.Dedoch BRNO 32</t>
  </si>
  <si>
    <t>A.Dedoch BBS 111</t>
  </si>
  <si>
    <t>A.Dedoch BBS 114</t>
  </si>
  <si>
    <t>R.Diethelm BBS 127</t>
  </si>
  <si>
    <t xml:space="preserve">K.&amp; M.R„tz BAVM    </t>
  </si>
  <si>
    <t xml:space="preserve">F.Agerer BAVM    </t>
  </si>
  <si>
    <t>NOTE:  correct coord's for RZ UMi:  14 54 26 +86 43 37</t>
  </si>
  <si>
    <t>IBVS 5592</t>
  </si>
  <si>
    <t>RZ UMi / GSC 04642-00832</t>
  </si>
  <si>
    <t># of data points: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</si>
  <si>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</si>
  <si>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</si>
  <si>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</si>
  <si>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</si>
  <si>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</si>
  <si>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</si>
  <si>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</si>
  <si>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</si>
  <si>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</si>
  <si>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</si>
  <si>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</si>
  <si>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5992</t>
  </si>
  <si>
    <t>IBVS 6029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</si>
  <si>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</si>
  <si>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</si>
  <si>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</si>
  <si>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</si>
  <si>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</si>
  <si>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</si>
  <si>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</si>
  <si>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</si>
  <si>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</si>
  <si>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</si>
  <si>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</si>
  <si>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</si>
  <si>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2445957.372 </t>
  </si>
  <si>
    <t> 13.09.1984 20:55 </t>
  </si>
  <si>
    <t> -0.021 </t>
  </si>
  <si>
    <t>V </t>
  </si>
  <si>
    <t> K.Locher </t>
  </si>
  <si>
    <t> BBS 74 </t>
  </si>
  <si>
    <t>2446009.319 </t>
  </si>
  <si>
    <t> 04.11.1984 19:39 </t>
  </si>
  <si>
    <t> -0.027 </t>
  </si>
  <si>
    <t>2446057.403 </t>
  </si>
  <si>
    <t> 22.12.1984 21:40 </t>
  </si>
  <si>
    <t> -0.015 </t>
  </si>
  <si>
    <t> BBS 75 </t>
  </si>
  <si>
    <t>2446144.606 </t>
  </si>
  <si>
    <t> 20.03.1985 02:32 </t>
  </si>
  <si>
    <t> -0.018 </t>
  </si>
  <si>
    <t> BBS 76 </t>
  </si>
  <si>
    <t>2446219.487 </t>
  </si>
  <si>
    <t> 02.06.1985 23:41 </t>
  </si>
  <si>
    <t> -0.029 </t>
  </si>
  <si>
    <t> BBS 77 </t>
  </si>
  <si>
    <t>2446452.422 </t>
  </si>
  <si>
    <t> 21.01.1986 22:07 </t>
  </si>
  <si>
    <t> -0.037 </t>
  </si>
  <si>
    <t> BBS 79 </t>
  </si>
  <si>
    <t>2447656.434 </t>
  </si>
  <si>
    <t> 09.05.1989 22:24 </t>
  </si>
  <si>
    <t> J.Borovicka </t>
  </si>
  <si>
    <t> BRNO 30 </t>
  </si>
  <si>
    <t>2447791.538 </t>
  </si>
  <si>
    <t> 22.09.1989 00:54 </t>
  </si>
  <si>
    <t> -0.043 </t>
  </si>
  <si>
    <t> A.Dedoch </t>
  </si>
  <si>
    <t>2447947.392 </t>
  </si>
  <si>
    <t> 24.02.1990 21:24 </t>
  </si>
  <si>
    <t> -0.046 </t>
  </si>
  <si>
    <t> BRNO 31 </t>
  </si>
  <si>
    <t>2448064.449 </t>
  </si>
  <si>
    <t> 21.06.1990 22:46 </t>
  </si>
  <si>
    <t> -0.050 </t>
  </si>
  <si>
    <t>2448127.540 </t>
  </si>
  <si>
    <t> 24.08.1990 00:57 </t>
  </si>
  <si>
    <t> -0.044 </t>
  </si>
  <si>
    <t>2448439.422 </t>
  </si>
  <si>
    <t> 01.07.1991 22:07 </t>
  </si>
  <si>
    <t> -0.045 </t>
  </si>
  <si>
    <t>2448439.427 </t>
  </si>
  <si>
    <t> 01.07.1991 22:14 </t>
  </si>
  <si>
    <t> -0.040 </t>
  </si>
  <si>
    <t> P.Stepan </t>
  </si>
  <si>
    <t>2448439.431 </t>
  </si>
  <si>
    <t> 01.07.1991 22:20 </t>
  </si>
  <si>
    <t> -0.036 </t>
  </si>
  <si>
    <t> M.Nesvara </t>
  </si>
  <si>
    <t>2448439.438 </t>
  </si>
  <si>
    <t> 01.07.1991 22:30 </t>
  </si>
  <si>
    <t> F.Hroch </t>
  </si>
  <si>
    <t>2448439.442 </t>
  </si>
  <si>
    <t> 01.07.1991 22:36 </t>
  </si>
  <si>
    <t> -0.025 </t>
  </si>
  <si>
    <t> P.Lutcha </t>
  </si>
  <si>
    <t>2448453.426 </t>
  </si>
  <si>
    <t> 15.07.1991 22:13 </t>
  </si>
  <si>
    <t> -0.041 </t>
  </si>
  <si>
    <t>2448622.426 </t>
  </si>
  <si>
    <t> 31.12.1991 22:13 </t>
  </si>
  <si>
    <t> -0.055 </t>
  </si>
  <si>
    <t>2448983.394 </t>
  </si>
  <si>
    <t> 26.12.1992 21:27 </t>
  </si>
  <si>
    <t> -0.054 </t>
  </si>
  <si>
    <t>2449101.460 </t>
  </si>
  <si>
    <t> 23.04.1993 23:02 </t>
  </si>
  <si>
    <t> -0.062 </t>
  </si>
  <si>
    <t>2449399.516 </t>
  </si>
  <si>
    <t> 16.02.1994 00:23 </t>
  </si>
  <si>
    <t> -0.057 </t>
  </si>
  <si>
    <t>2449400.356 </t>
  </si>
  <si>
    <t> 16.02.1994 20:32 </t>
  </si>
  <si>
    <t> -0.060 </t>
  </si>
  <si>
    <t>2449745.471 </t>
  </si>
  <si>
    <t> 27.01.1995 23:18 </t>
  </si>
  <si>
    <t> BBS 108 </t>
  </si>
  <si>
    <t>2449749.3469 </t>
  </si>
  <si>
    <t> 31.01.1995 20:19 </t>
  </si>
  <si>
    <t> -0.0608 </t>
  </si>
  <si>
    <t> BRNO 32 </t>
  </si>
  <si>
    <t>2449761.488 </t>
  </si>
  <si>
    <t> 12.02.1995 23:42 </t>
  </si>
  <si>
    <t> -0.064 </t>
  </si>
  <si>
    <t>2449779.3779 </t>
  </si>
  <si>
    <t> 02.03.1995 21:04 </t>
  </si>
  <si>
    <t> -0.0542 </t>
  </si>
  <si>
    <t>2449779.5397 </t>
  </si>
  <si>
    <t> 03.03.1995 00:57 </t>
  </si>
  <si>
    <t> -0.0611 </t>
  </si>
  <si>
    <t>2450079.6097 </t>
  </si>
  <si>
    <t> 28.12.1995 02:37 </t>
  </si>
  <si>
    <t> -0.0664 </t>
  </si>
  <si>
    <t>2450097.3242 </t>
  </si>
  <si>
    <t> 14.01.1996 19:46 </t>
  </si>
  <si>
    <t> -0.0630 </t>
  </si>
  <si>
    <t>2450097.4895 </t>
  </si>
  <si>
    <t> 14.01.1996 23:44 </t>
  </si>
  <si>
    <t> -0.0663 </t>
  </si>
  <si>
    <t>2450097.653 </t>
  </si>
  <si>
    <t> 15.01.1996 03:40 </t>
  </si>
  <si>
    <t> -0.072 </t>
  </si>
  <si>
    <t> BBS 111 </t>
  </si>
  <si>
    <t>2450520.519 </t>
  </si>
  <si>
    <t> 13.03.1997 00:27 </t>
  </si>
  <si>
    <t> -0.077 </t>
  </si>
  <si>
    <t> BBS 114 </t>
  </si>
  <si>
    <t>2452303.5818 </t>
  </si>
  <si>
    <t> 29.01.2002 01:57 </t>
  </si>
  <si>
    <t> -0.0929 </t>
  </si>
  <si>
    <t>E </t>
  </si>
  <si>
    <t>?</t>
  </si>
  <si>
    <t> R.Diethelm </t>
  </si>
  <si>
    <t> BBS 127 </t>
  </si>
  <si>
    <t>2452308.6428 </t>
  </si>
  <si>
    <t> 03.02.2002 03:25 </t>
  </si>
  <si>
    <t> -0.0922 </t>
  </si>
  <si>
    <t>-I</t>
  </si>
  <si>
    <t> K.&amp; M.Rätz </t>
  </si>
  <si>
    <t>BAVM 158 </t>
  </si>
  <si>
    <t>2452363.4617 </t>
  </si>
  <si>
    <t> 29.03.2002 23:04 </t>
  </si>
  <si>
    <t>27189</t>
  </si>
  <si>
    <t> -0.0931 </t>
  </si>
  <si>
    <t>o</t>
  </si>
  <si>
    <t> F.Agerer </t>
  </si>
  <si>
    <t>2453135.3156 </t>
  </si>
  <si>
    <t> 09.05.2004 19:34 </t>
  </si>
  <si>
    <t>29477</t>
  </si>
  <si>
    <t> -0.1025 </t>
  </si>
  <si>
    <t> T.Krajci </t>
  </si>
  <si>
    <t>IBVS 5592 </t>
  </si>
  <si>
    <t>2453511.4579 </t>
  </si>
  <si>
    <t> 20.05.2005 22:59 </t>
  </si>
  <si>
    <t>30592</t>
  </si>
  <si>
    <t> -0.1086 </t>
  </si>
  <si>
    <t>BAVM 173 </t>
  </si>
  <si>
    <t>2454598.3988 </t>
  </si>
  <si>
    <t> 11.05.2008 21:34 </t>
  </si>
  <si>
    <t>33814</t>
  </si>
  <si>
    <t> -0.1185 </t>
  </si>
  <si>
    <t>C </t>
  </si>
  <si>
    <t> H.Jungbluth </t>
  </si>
  <si>
    <t>BAVM 201 </t>
  </si>
  <si>
    <t>2454936.4228 </t>
  </si>
  <si>
    <t> 14.04.2009 22:08 </t>
  </si>
  <si>
    <t>34816</t>
  </si>
  <si>
    <t> -0.1220 </t>
  </si>
  <si>
    <t>BAVM 209 </t>
  </si>
  <si>
    <t>2454936.4234 </t>
  </si>
  <si>
    <t> 14.04.2009 22:09 </t>
  </si>
  <si>
    <t> -0.1214 </t>
  </si>
  <si>
    <t>2455647.8911 </t>
  </si>
  <si>
    <t> 27.03.2011 09:23 </t>
  </si>
  <si>
    <t>36925</t>
  </si>
  <si>
    <t> -0.1308 </t>
  </si>
  <si>
    <t>IBVS 5992 </t>
  </si>
  <si>
    <t>2455695.7944 </t>
  </si>
  <si>
    <t> 14.05.2011 07:03 </t>
  </si>
  <si>
    <t>37067</t>
  </si>
  <si>
    <t> -0.1316 </t>
  </si>
  <si>
    <t>2456023.8672 </t>
  </si>
  <si>
    <t> 06.04.2012 08:48 </t>
  </si>
  <si>
    <t>38039.5</t>
  </si>
  <si>
    <t> -0.1345 </t>
  </si>
  <si>
    <t>IBVS 6029 </t>
  </si>
  <si>
    <t>2457161.4048 </t>
  </si>
  <si>
    <t> 18.05.2015 21:42 </t>
  </si>
  <si>
    <t>41411.5</t>
  </si>
  <si>
    <t> -0.1506 </t>
  </si>
  <si>
    <t>BAVM 241 (=IBVS 6157) </t>
  </si>
  <si>
    <t>BAD?</t>
  </si>
  <si>
    <t>OEJV 0179</t>
  </si>
  <si>
    <t>JBAV, 60</t>
  </si>
  <si>
    <t>S5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</si>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</sst>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/>
    <xf numFmtId="22" fontId="0" fillId="0" borderId="0" xfId="0" applyNumberFormat="1" applyAlignment="1"/>
    <xf numFmtId="165" fontId="0" fillId="0" borderId="0" xfId="0" applyNumberForma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UMi - O-C Diagr.</a:t>
            </a:r>
          </a:p>
        </c:rich>
      </c:tx>
      <c:layout>
        <c:manualLayout>
          <c:xMode val="edge"/>
          <c:yMode val="edge"/>
          <c:x val="0.37785016286644951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485342019544E-2"/>
          <c:y val="9.0643533681508362E-2"/>
          <c:w val="0.8631921824104235"/>
          <c:h val="0.733920224324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Active!$H$21:$H$990</c:f>
              <c:numCache>
                <c:formatCode>0.0000</c:formatCode>
                <c:ptCount val="970"/>
                <c:pt idx="0">
                  <c:v>-1.1871373004396446E-2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F-4F8C-9E31-C98D3B5BBE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Active!$I$21:$I$990</c:f>
              <c:numCache>
                <c:formatCode>0.0000</c:formatCode>
                <c:ptCount val="970"/>
                <c:pt idx="1">
                  <c:v>-1.2950974996783771E-3</c:v>
                </c:pt>
                <c:pt idx="2">
                  <c:v>-6.0335515008773655E-3</c:v>
                </c:pt>
                <c:pt idx="3">
                  <c:v>5.7409309956710786E-3</c:v>
                </c:pt>
                <c:pt idx="4">
                  <c:v>4.037097496620845E-3</c:v>
                </c:pt>
                <c:pt idx="5">
                  <c:v>-6.4300244994228706E-3</c:v>
                </c:pt>
                <c:pt idx="6">
                  <c:v>-1.0880690002522897E-2</c:v>
                </c:pt>
                <c:pt idx="7">
                  <c:v>2.7131909955642186E-3</c:v>
                </c:pt>
                <c:pt idx="8">
                  <c:v>-1.5416844980791211E-3</c:v>
                </c:pt>
                <c:pt idx="9">
                  <c:v>-2.7570465026656166E-3</c:v>
                </c:pt>
                <c:pt idx="10">
                  <c:v>-5.8430435019545257E-3</c:v>
                </c:pt>
                <c:pt idx="11">
                  <c:v>9.0311950043542311E-4</c:v>
                </c:pt>
                <c:pt idx="12">
                  <c:v>3.7979199987603351E-3</c:v>
                </c:pt>
                <c:pt idx="13">
                  <c:v>8.797920003416948E-3</c:v>
                </c:pt>
                <c:pt idx="14">
                  <c:v>1.2797919996955898E-2</c:v>
                </c:pt>
                <c:pt idx="15">
                  <c:v>1.9797920002019964E-2</c:v>
                </c:pt>
                <c:pt idx="16">
                  <c:v>2.3797920002834871E-2</c:v>
                </c:pt>
                <c:pt idx="17">
                  <c:v>7.8164535007090308E-3</c:v>
                </c:pt>
                <c:pt idx="18">
                  <c:v>-4.007997500593774E-3</c:v>
                </c:pt>
                <c:pt idx="19">
                  <c:v>6.144325016066432E-4</c:v>
                </c:pt>
                <c:pt idx="20">
                  <c:v>-5.5184174998430535E-3</c:v>
                </c:pt>
                <c:pt idx="21">
                  <c:v>2.6833740048459731E-3</c:v>
                </c:pt>
                <c:pt idx="22">
                  <c:v>-6.8900350015610456E-4</c:v>
                </c:pt>
                <c:pt idx="23">
                  <c:v>6.334123492706567E-3</c:v>
                </c:pt>
                <c:pt idx="24">
                  <c:v>6.334123492706567E-3</c:v>
                </c:pt>
                <c:pt idx="26">
                  <c:v>-7.4104900704696774E-4</c:v>
                </c:pt>
                <c:pt idx="33">
                  <c:v>-3.9707205069134943E-3</c:v>
                </c:pt>
                <c:pt idx="34">
                  <c:v>-3.9707205069134943E-3</c:v>
                </c:pt>
                <c:pt idx="35">
                  <c:v>-4.8807990024215542E-3</c:v>
                </c:pt>
                <c:pt idx="36">
                  <c:v>-4.8807990024215542E-3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F-4F8C-9E31-C98D3B5BBE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Active!$J$21:$J$990</c:f>
              <c:numCache>
                <c:formatCode>0.0000</c:formatCode>
                <c:ptCount val="970"/>
                <c:pt idx="25">
                  <c:v>2.7211869964958169E-3</c:v>
                </c:pt>
                <c:pt idx="27">
                  <c:v>-7.4104900704696774E-4</c:v>
                </c:pt>
                <c:pt idx="28">
                  <c:v>9.6645480007282458E-3</c:v>
                </c:pt>
                <c:pt idx="29">
                  <c:v>2.7900724962819368E-3</c:v>
                </c:pt>
                <c:pt idx="30">
                  <c:v>8.9815799583448097E-4</c:v>
                </c:pt>
                <c:pt idx="31">
                  <c:v>4.5782305023749359E-3</c:v>
                </c:pt>
                <c:pt idx="32">
                  <c:v>1.2037550040986389E-3</c:v>
                </c:pt>
                <c:pt idx="39">
                  <c:v>8.0442550097359344E-4</c:v>
                </c:pt>
                <c:pt idx="41">
                  <c:v>4.9988799582934007E-4</c:v>
                </c:pt>
                <c:pt idx="44">
                  <c:v>-1.780364997102879E-3</c:v>
                </c:pt>
                <c:pt idx="45">
                  <c:v>7.9951299994718283E-4</c:v>
                </c:pt>
                <c:pt idx="46">
                  <c:v>1.1506110022310168E-3</c:v>
                </c:pt>
                <c:pt idx="47">
                  <c:v>1.7506110016256571E-3</c:v>
                </c:pt>
                <c:pt idx="51">
                  <c:v>-1.8557095027063042E-3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4F-4F8C-9E31-C98D3B5BBE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Active!$K$21:$K$990</c:f>
              <c:numCache>
                <c:formatCode>0.0000</c:formatCode>
                <c:ptCount val="970"/>
                <c:pt idx="37">
                  <c:v>7.6898199768038467E-4</c:v>
                </c:pt>
                <c:pt idx="38">
                  <c:v>3.869050124194473E-5</c:v>
                </c:pt>
                <c:pt idx="40">
                  <c:v>8.0442550097359344E-4</c:v>
                </c:pt>
                <c:pt idx="42">
                  <c:v>4.9988799582934007E-4</c:v>
                </c:pt>
                <c:pt idx="43">
                  <c:v>0</c:v>
                </c:pt>
                <c:pt idx="48">
                  <c:v>5.1295199955347925E-4</c:v>
                </c:pt>
                <c:pt idx="49">
                  <c:v>2.6190999778918922E-4</c:v>
                </c:pt>
                <c:pt idx="50">
                  <c:v>1.2070625016349368E-3</c:v>
                </c:pt>
                <c:pt idx="52">
                  <c:v>-5.9551899903453887E-4</c:v>
                </c:pt>
                <c:pt idx="53">
                  <c:v>-2.1923719978076406E-3</c:v>
                </c:pt>
                <c:pt idx="54">
                  <c:v>-1.897223002742976E-3</c:v>
                </c:pt>
                <c:pt idx="55">
                  <c:v>-6.4716984998085536E-3</c:v>
                </c:pt>
                <c:pt idx="56">
                  <c:v>-8.0700900434749201E-4</c:v>
                </c:pt>
                <c:pt idx="57">
                  <c:v>-1.3814845005981624E-3</c:v>
                </c:pt>
                <c:pt idx="58">
                  <c:v>-6.3616400439059362E-4</c:v>
                </c:pt>
                <c:pt idx="59">
                  <c:v>-8.1063950347015634E-4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F-4F8C-9E31-C98D3B5BBE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Active!$L$21:$L$990</c:f>
              <c:numCache>
                <c:formatCode>0.0000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4F-4F8C-9E31-C98D3B5BBE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Active!$M$21:$M$990</c:f>
              <c:numCache>
                <c:formatCode>0.0000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F-4F8C-9E31-C98D3B5BBE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Active!$N$21:$N$990</c:f>
              <c:numCache>
                <c:formatCode>0.0000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4F-4F8C-9E31-C98D3B5BBE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Active!$O$21:$O$990</c:f>
              <c:numCache>
                <c:formatCode>0.0000</c:formatCode>
                <c:ptCount val="970"/>
                <c:pt idx="0">
                  <c:v>3.1094875410537051E-3</c:v>
                </c:pt>
                <c:pt idx="1">
                  <c:v>2.3630566814319687E-3</c:v>
                </c:pt>
                <c:pt idx="2">
                  <c:v>2.3490374909469697E-3</c:v>
                </c:pt>
                <c:pt idx="3">
                  <c:v>2.3360651880631237E-3</c:v>
                </c:pt>
                <c:pt idx="4">
                  <c:v>2.3125329754633043E-3</c:v>
                </c:pt>
                <c:pt idx="5">
                  <c:v>2.2923234930758386E-3</c:v>
                </c:pt>
                <c:pt idx="6">
                  <c:v>2.2294647201544643E-3</c:v>
                </c:pt>
                <c:pt idx="7">
                  <c:v>1.9045654289793954E-3</c:v>
                </c:pt>
                <c:pt idx="8">
                  <c:v>1.8681064303479537E-3</c:v>
                </c:pt>
                <c:pt idx="9">
                  <c:v>1.8260488588929574E-3</c:v>
                </c:pt>
                <c:pt idx="10">
                  <c:v>1.7944601634494863E-3</c:v>
                </c:pt>
                <c:pt idx="11">
                  <c:v>1.7774368607177018E-3</c:v>
                </c:pt>
                <c:pt idx="12">
                  <c:v>1.6932762009554854E-3</c:v>
                </c:pt>
                <c:pt idx="13">
                  <c:v>1.6932762009554854E-3</c:v>
                </c:pt>
                <c:pt idx="14">
                  <c:v>1.6932762009554854E-3</c:v>
                </c:pt>
                <c:pt idx="15">
                  <c:v>1.6932762009554854E-3</c:v>
                </c:pt>
                <c:pt idx="16">
                  <c:v>1.6932762009554854E-3</c:v>
                </c:pt>
                <c:pt idx="17">
                  <c:v>1.6894983022208915E-3</c:v>
                </c:pt>
                <c:pt idx="18">
                  <c:v>1.6438904162924214E-3</c:v>
                </c:pt>
                <c:pt idx="19">
                  <c:v>1.5464843525330144E-3</c:v>
                </c:pt>
                <c:pt idx="20">
                  <c:v>1.5146225559761991E-3</c:v>
                </c:pt>
                <c:pt idx="21">
                  <c:v>1.4341942780963523E-3</c:v>
                </c:pt>
                <c:pt idx="22">
                  <c:v>1.4339666938352322E-3</c:v>
                </c:pt>
                <c:pt idx="23">
                  <c:v>1.3408392141848833E-3</c:v>
                </c:pt>
                <c:pt idx="24">
                  <c:v>1.3408392141848833E-3</c:v>
                </c:pt>
                <c:pt idx="25">
                  <c:v>1.3397923265837308E-3</c:v>
                </c:pt>
                <c:pt idx="26">
                  <c:v>1.336515113223601E-3</c:v>
                </c:pt>
                <c:pt idx="27">
                  <c:v>1.336515113223601E-3</c:v>
                </c:pt>
                <c:pt idx="28">
                  <c:v>1.3316903268878548E-3</c:v>
                </c:pt>
                <c:pt idx="29">
                  <c:v>1.3316448100356307E-3</c:v>
                </c:pt>
                <c:pt idx="30">
                  <c:v>1.2506703299290955E-3</c:v>
                </c:pt>
                <c:pt idx="31">
                  <c:v>1.2458910604455733E-3</c:v>
                </c:pt>
                <c:pt idx="32">
                  <c:v>1.2458455435933494E-3</c:v>
                </c:pt>
                <c:pt idx="33">
                  <c:v>1.2458000267411254E-3</c:v>
                </c:pt>
                <c:pt idx="34">
                  <c:v>1.2458000267411254E-3</c:v>
                </c:pt>
                <c:pt idx="35">
                  <c:v>1.1316892782155022E-3</c:v>
                </c:pt>
                <c:pt idx="36">
                  <c:v>1.1316892782155022E-3</c:v>
                </c:pt>
                <c:pt idx="37">
                  <c:v>8.8872032104367294E-4</c:v>
                </c:pt>
                <c:pt idx="38">
                  <c:v>6.5053063335536595E-4</c:v>
                </c:pt>
                <c:pt idx="39">
                  <c:v>6.4916512778864528E-4</c:v>
                </c:pt>
                <c:pt idx="40">
                  <c:v>6.4916512778864528E-4</c:v>
                </c:pt>
                <c:pt idx="41">
                  <c:v>6.3437215081583813E-4</c:v>
                </c:pt>
                <c:pt idx="42">
                  <c:v>6.3437215081583813E-4</c:v>
                </c:pt>
                <c:pt idx="43">
                  <c:v>4.2608703503871359E-4</c:v>
                </c:pt>
                <c:pt idx="44">
                  <c:v>3.2458445457914461E-4</c:v>
                </c:pt>
                <c:pt idx="45">
                  <c:v>3.1273858847547019E-5</c:v>
                </c:pt>
                <c:pt idx="46">
                  <c:v>-5.9941913009393011E-5</c:v>
                </c:pt>
                <c:pt idx="47">
                  <c:v>-5.9941913009393011E-5</c:v>
                </c:pt>
                <c:pt idx="48">
                  <c:v>-2.5193199569031768E-4</c:v>
                </c:pt>
                <c:pt idx="49">
                  <c:v>-2.6485878172193998E-4</c:v>
                </c:pt>
                <c:pt idx="50">
                  <c:v>-3.5338905929766266E-4</c:v>
                </c:pt>
                <c:pt idx="51">
                  <c:v>-6.6035471069646689E-4</c:v>
                </c:pt>
                <c:pt idx="52">
                  <c:v>-7.5452907794796827E-4</c:v>
                </c:pt>
                <c:pt idx="53">
                  <c:v>-7.5480217906131238E-4</c:v>
                </c:pt>
                <c:pt idx="54">
                  <c:v>-8.3682354676900008E-4</c:v>
                </c:pt>
                <c:pt idx="55">
                  <c:v>-8.3686906362122403E-4</c:v>
                </c:pt>
                <c:pt idx="56">
                  <c:v>-8.446524453515319E-4</c:v>
                </c:pt>
                <c:pt idx="57">
                  <c:v>-8.4469796220375585E-4</c:v>
                </c:pt>
                <c:pt idx="58">
                  <c:v>-1.2456559134451655E-3</c:v>
                </c:pt>
                <c:pt idx="59">
                  <c:v>-1.2457014302973894E-3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4F-4F8C-9E31-C98D3B5BBE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4F-4F8C-9E31-C98D3B5BB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20040"/>
        <c:axId val="1"/>
      </c:scatterChart>
      <c:valAx>
        <c:axId val="912020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7198697068404"/>
              <c:y val="0.88011941489769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433224755700327E-3"/>
              <c:y val="0.368421973569093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2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06514657980457"/>
          <c:y val="0.92397937099967764"/>
          <c:w val="0.8322475570032572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16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CEAD26-E8B8-68AD-D041-8BE8CFB4D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4"/>
  <sheetViews>
    <sheetView tabSelected="1" workbookViewId="0">
      <pane xSplit="13" ySplit="21" topLeftCell="N67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8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8" width="8.5703125" style="12" customWidth="1"/>
    <col min="9" max="9" width="9.5703125" style="12" customWidth="1"/>
    <col min="10" max="14" width="8.5703125" style="12" customWidth="1"/>
    <col min="15" max="15" width="8" style="12" customWidth="1"/>
    <col min="16" max="16" width="7.7109375" style="12" customWidth="1"/>
    <col min="17" max="17" width="10.140625" style="10" bestFit="1" customWidth="1"/>
  </cols>
  <sheetData>
    <row r="1" spans="1:16" ht="20.25" x14ac:dyDescent="0.3">
      <c r="A1" s="1" t="s">
        <v>60</v>
      </c>
      <c r="G1"/>
      <c r="H1"/>
      <c r="I1"/>
      <c r="J1"/>
      <c r="K1"/>
      <c r="L1"/>
      <c r="M1"/>
      <c r="N1"/>
      <c r="O1"/>
      <c r="P1"/>
    </row>
    <row r="2" spans="1:16" x14ac:dyDescent="0.2">
      <c r="A2" t="s">
        <v>25</v>
      </c>
      <c r="B2" t="s">
        <v>41</v>
      </c>
      <c r="G2"/>
      <c r="H2"/>
      <c r="I2"/>
      <c r="J2"/>
      <c r="K2"/>
      <c r="L2"/>
      <c r="M2"/>
      <c r="N2"/>
      <c r="O2"/>
      <c r="P2"/>
    </row>
    <row r="3" spans="1:16" ht="13.5" thickBot="1" x14ac:dyDescent="0.25">
      <c r="A3" s="14" t="s">
        <v>58</v>
      </c>
      <c r="G3"/>
      <c r="H3"/>
      <c r="I3"/>
      <c r="J3"/>
      <c r="K3"/>
      <c r="L3"/>
      <c r="M3"/>
      <c r="N3"/>
      <c r="O3"/>
      <c r="P3"/>
    </row>
    <row r="4" spans="1:16" ht="14.25" thickTop="1" thickBot="1" x14ac:dyDescent="0.25">
      <c r="A4" s="6" t="s">
        <v>1</v>
      </c>
      <c r="C4" s="2">
        <v>43191.268700000001</v>
      </c>
      <c r="D4" s="3">
        <v>0.33735282999999999</v>
      </c>
      <c r="G4"/>
      <c r="H4"/>
      <c r="I4"/>
      <c r="J4"/>
      <c r="K4"/>
      <c r="L4"/>
      <c r="M4"/>
      <c r="N4"/>
      <c r="O4"/>
      <c r="P4"/>
    </row>
    <row r="5" spans="1:16" ht="13.5" thickTop="1" x14ac:dyDescent="0.2">
      <c r="A5" s="17" t="s">
        <v>63</v>
      </c>
      <c r="B5" s="18"/>
      <c r="C5" s="19">
        <v>-9.5</v>
      </c>
      <c r="D5" s="18" t="s">
        <v>64</v>
      </c>
      <c r="G5"/>
      <c r="H5"/>
      <c r="I5"/>
      <c r="J5"/>
      <c r="K5"/>
      <c r="L5"/>
      <c r="M5"/>
      <c r="N5"/>
      <c r="O5"/>
      <c r="P5"/>
    </row>
    <row r="6" spans="1:16" x14ac:dyDescent="0.2">
      <c r="A6" s="6" t="s">
        <v>2</v>
      </c>
      <c r="G6"/>
      <c r="H6"/>
      <c r="I6"/>
      <c r="J6"/>
      <c r="K6"/>
      <c r="L6"/>
      <c r="M6"/>
      <c r="N6"/>
      <c r="O6"/>
      <c r="P6"/>
    </row>
    <row r="7" spans="1:16" x14ac:dyDescent="0.2">
      <c r="A7" t="s">
        <v>3</v>
      </c>
      <c r="C7">
        <v>53135.315600000002</v>
      </c>
      <c r="G7"/>
      <c r="H7"/>
      <c r="I7"/>
      <c r="J7"/>
      <c r="K7"/>
      <c r="L7"/>
      <c r="M7"/>
      <c r="N7"/>
      <c r="O7"/>
      <c r="P7"/>
    </row>
    <row r="8" spans="1:16" x14ac:dyDescent="0.2">
      <c r="A8" t="s">
        <v>4</v>
      </c>
      <c r="C8">
        <v>0.33734895100000001</v>
      </c>
      <c r="G8"/>
      <c r="H8"/>
      <c r="I8"/>
      <c r="J8"/>
      <c r="K8"/>
      <c r="L8"/>
      <c r="M8"/>
      <c r="N8"/>
      <c r="O8"/>
      <c r="P8"/>
    </row>
    <row r="9" spans="1:16" x14ac:dyDescent="0.2">
      <c r="A9" s="32" t="s">
        <v>68</v>
      </c>
      <c r="B9" s="33">
        <v>21</v>
      </c>
      <c r="C9" s="21" t="str">
        <f>"F"&amp;B9</f>
        <v>F21</v>
      </c>
      <c r="D9" s="22" t="str">
        <f>"G"&amp;B9</f>
        <v>G21</v>
      </c>
      <c r="G9"/>
      <c r="H9"/>
      <c r="I9"/>
      <c r="J9"/>
      <c r="K9"/>
      <c r="L9"/>
      <c r="M9"/>
      <c r="N9"/>
      <c r="O9"/>
      <c r="P9"/>
    </row>
    <row r="10" spans="1:16" ht="13.5" thickBot="1" x14ac:dyDescent="0.25">
      <c r="A10" s="18"/>
      <c r="B10" s="18"/>
      <c r="C10" s="5" t="s">
        <v>21</v>
      </c>
      <c r="D10" s="5" t="s">
        <v>22</v>
      </c>
      <c r="E10" s="18"/>
      <c r="G10"/>
      <c r="H10"/>
      <c r="I10"/>
      <c r="J10"/>
      <c r="K10"/>
      <c r="L10"/>
      <c r="M10"/>
      <c r="N10"/>
      <c r="O10"/>
      <c r="P10"/>
    </row>
    <row r="11" spans="1:16" x14ac:dyDescent="0.2">
      <c r="A11" s="18" t="s">
        <v>17</v>
      </c>
      <c r="B11" s="18"/>
      <c r="C11" s="20">
        <f ca="1">INTERCEPT(INDIRECT($D$9):G992,INDIRECT($C$9):F992)</f>
        <v>4.2608703503871359E-4</v>
      </c>
      <c r="D11" s="4"/>
      <c r="E11" s="18"/>
      <c r="H11"/>
      <c r="I11"/>
      <c r="J11"/>
      <c r="K11"/>
      <c r="L11"/>
      <c r="M11"/>
      <c r="N11"/>
      <c r="O11"/>
      <c r="P11"/>
    </row>
    <row r="12" spans="1:16" x14ac:dyDescent="0.2">
      <c r="A12" s="18" t="s">
        <v>18</v>
      </c>
      <c r="B12" s="18"/>
      <c r="C12" s="20">
        <f ca="1">SLOPE(INDIRECT($D$9):G992,INDIRECT($C$9):F992)</f>
        <v>-9.1033704448043945E-8</v>
      </c>
      <c r="D12" s="4"/>
      <c r="E12" s="18"/>
      <c r="G12"/>
      <c r="H12"/>
      <c r="I12"/>
      <c r="J12"/>
      <c r="K12"/>
      <c r="L12"/>
      <c r="M12"/>
      <c r="N12"/>
      <c r="O12"/>
      <c r="P12"/>
    </row>
    <row r="13" spans="1:16" x14ac:dyDescent="0.2">
      <c r="A13" s="18" t="s">
        <v>20</v>
      </c>
      <c r="B13" s="18"/>
      <c r="C13" s="4" t="s">
        <v>15</v>
      </c>
      <c r="G13"/>
      <c r="H13"/>
      <c r="I13"/>
      <c r="J13"/>
      <c r="K13"/>
      <c r="L13"/>
      <c r="M13"/>
      <c r="N13"/>
      <c r="O13"/>
      <c r="P13"/>
    </row>
    <row r="14" spans="1:16" x14ac:dyDescent="0.2">
      <c r="A14" s="18"/>
      <c r="B14" s="18"/>
      <c r="C14" s="18"/>
      <c r="G14"/>
      <c r="H14"/>
      <c r="I14"/>
      <c r="J14"/>
      <c r="K14"/>
      <c r="L14"/>
      <c r="M14"/>
      <c r="N14"/>
      <c r="O14"/>
      <c r="P14"/>
    </row>
    <row r="15" spans="1:16" x14ac:dyDescent="0.2">
      <c r="A15" s="23" t="s">
        <v>19</v>
      </c>
      <c r="B15" s="18"/>
      <c r="C15" s="24">
        <f ca="1">(C7+C11)+(C8+C12)*INT(MAX(F21:F3533))</f>
        <v>59330.390490508085</v>
      </c>
      <c r="E15" s="25" t="s">
        <v>70</v>
      </c>
      <c r="F15" s="19">
        <v>1</v>
      </c>
      <c r="G15"/>
      <c r="H15"/>
      <c r="I15"/>
      <c r="J15"/>
      <c r="K15"/>
      <c r="L15"/>
      <c r="M15"/>
      <c r="N15"/>
      <c r="O15"/>
      <c r="P15"/>
    </row>
    <row r="16" spans="1:16" x14ac:dyDescent="0.2">
      <c r="A16" s="27" t="s">
        <v>5</v>
      </c>
      <c r="B16" s="18"/>
      <c r="C16" s="28">
        <f ca="1">+C8+C12</f>
        <v>0.33734885996629554</v>
      </c>
      <c r="E16" s="25" t="s">
        <v>65</v>
      </c>
      <c r="F16" s="26">
        <f ca="1">NOW()+15018.5+$C$5/24</f>
        <v>60326.730305787038</v>
      </c>
      <c r="G16"/>
      <c r="H16"/>
      <c r="I16"/>
      <c r="J16"/>
      <c r="K16"/>
      <c r="L16"/>
      <c r="M16"/>
      <c r="N16"/>
      <c r="O16"/>
      <c r="P16"/>
    </row>
    <row r="17" spans="1:30" ht="13.5" thickBot="1" x14ac:dyDescent="0.25">
      <c r="A17" s="25" t="s">
        <v>61</v>
      </c>
      <c r="B17" s="18"/>
      <c r="C17" s="18">
        <f>COUNT(C21:C2191)</f>
        <v>60</v>
      </c>
      <c r="E17" s="25" t="s">
        <v>71</v>
      </c>
      <c r="F17" s="26">
        <f ca="1">ROUND(2*(F16-$C$7)/$C$8,0)/2+F15</f>
        <v>21318.5</v>
      </c>
      <c r="G17"/>
      <c r="H17"/>
      <c r="I17"/>
      <c r="J17"/>
      <c r="K17"/>
      <c r="L17"/>
      <c r="M17"/>
      <c r="N17"/>
      <c r="O17"/>
      <c r="P17"/>
      <c r="Q17"/>
    </row>
    <row r="18" spans="1:30" ht="14.25" thickTop="1" thickBot="1" x14ac:dyDescent="0.25">
      <c r="A18" s="27" t="s">
        <v>6</v>
      </c>
      <c r="B18" s="18"/>
      <c r="C18" s="30">
        <f ca="1">+C15</f>
        <v>59330.390490508085</v>
      </c>
      <c r="D18" s="31">
        <f ca="1">+C16</f>
        <v>0.33734885996629554</v>
      </c>
      <c r="E18" s="25" t="s">
        <v>66</v>
      </c>
      <c r="F18" s="22">
        <f ca="1">ROUND(2*(F16-$C$15)/$C$16,0)/2+F15</f>
        <v>2954.5</v>
      </c>
      <c r="G18"/>
      <c r="H18"/>
      <c r="I18"/>
      <c r="J18"/>
      <c r="K18"/>
      <c r="L18"/>
      <c r="M18"/>
      <c r="N18"/>
      <c r="O18"/>
      <c r="P18"/>
      <c r="Q18"/>
    </row>
    <row r="19" spans="1:30" ht="13.5" thickTop="1" x14ac:dyDescent="0.2">
      <c r="E19" s="25" t="s">
        <v>67</v>
      </c>
      <c r="F19" s="29">
        <f ca="1">+$C$15+$C$16*F18-15018.5-$C$5/24</f>
        <v>45308.98353061184</v>
      </c>
      <c r="G19"/>
      <c r="H19"/>
      <c r="I19"/>
      <c r="J19"/>
      <c r="K19"/>
      <c r="L19"/>
      <c r="M19"/>
      <c r="N19"/>
      <c r="O19"/>
      <c r="P19"/>
      <c r="Q19"/>
    </row>
    <row r="20" spans="1:30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83</v>
      </c>
      <c r="I20" s="8" t="s">
        <v>86</v>
      </c>
      <c r="J20" s="8" t="s">
        <v>80</v>
      </c>
      <c r="K20" s="8" t="s">
        <v>78</v>
      </c>
      <c r="L20" s="8" t="s">
        <v>266</v>
      </c>
      <c r="M20" s="8" t="s">
        <v>267</v>
      </c>
      <c r="N20" s="8" t="s">
        <v>26</v>
      </c>
      <c r="O20" s="8" t="s">
        <v>24</v>
      </c>
      <c r="P20" s="7" t="s">
        <v>23</v>
      </c>
      <c r="Q20" s="5" t="s">
        <v>16</v>
      </c>
      <c r="U20" s="54" t="s">
        <v>263</v>
      </c>
    </row>
    <row r="21" spans="1:30" x14ac:dyDescent="0.2">
      <c r="A21" t="s">
        <v>13</v>
      </c>
      <c r="B21" s="4"/>
      <c r="C21" s="16">
        <v>43191.268700000001</v>
      </c>
      <c r="D21" s="16" t="s">
        <v>15</v>
      </c>
      <c r="E21">
        <f>+(C21-C$7)/C$8</f>
        <v>-29477.03519018798</v>
      </c>
      <c r="F21">
        <f>ROUND(2*E21,0)/2</f>
        <v>-29477</v>
      </c>
      <c r="H21" s="12">
        <f>+C21-(C$7+F21*C$8)</f>
        <v>-1.1871373004396446E-2</v>
      </c>
      <c r="O21" s="12">
        <f ca="1">+C$11+C$12*$F21</f>
        <v>3.1094875410537051E-3</v>
      </c>
      <c r="Q21" s="10">
        <f>+C21-15018.5</f>
        <v>28172.768700000001</v>
      </c>
    </row>
    <row r="22" spans="1:30" x14ac:dyDescent="0.2">
      <c r="A22" t="s">
        <v>28</v>
      </c>
      <c r="B22" s="4" t="s">
        <v>38</v>
      </c>
      <c r="C22" s="16">
        <v>45957.372000000003</v>
      </c>
      <c r="D22" s="16"/>
      <c r="E22">
        <f t="shared" ref="E22:E34" si="0">+(C22-C$7)/C$8</f>
        <v>-21277.503839044097</v>
      </c>
      <c r="F22">
        <f t="shared" ref="F22:F48" si="1">ROUND(2*E22,0)/2</f>
        <v>-21277.5</v>
      </c>
      <c r="G22" s="12">
        <f t="shared" ref="G22:G34" si="2">+C22-(C$7+F22*C$8)</f>
        <v>-1.2950974996783771E-3</v>
      </c>
      <c r="I22" s="12">
        <f t="shared" ref="I22:I27" si="3">+G22</f>
        <v>-1.2950974996783771E-3</v>
      </c>
      <c r="O22" s="12">
        <f t="shared" ref="O22:O34" ca="1" si="4">+C$11+C$12*$F22</f>
        <v>2.3630566814319687E-3</v>
      </c>
      <c r="Q22" s="10">
        <f t="shared" ref="Q22:Q34" si="5">+C22-15018.5</f>
        <v>30938.872000000003</v>
      </c>
      <c r="Z22">
        <v>7</v>
      </c>
      <c r="AB22" t="s">
        <v>27</v>
      </c>
      <c r="AD22" t="s">
        <v>29</v>
      </c>
    </row>
    <row r="23" spans="1:30" x14ac:dyDescent="0.2">
      <c r="A23" t="s">
        <v>28</v>
      </c>
      <c r="B23" s="4" t="s">
        <v>38</v>
      </c>
      <c r="C23" s="16">
        <v>46009.319000000003</v>
      </c>
      <c r="D23" s="16"/>
      <c r="E23">
        <f t="shared" si="0"/>
        <v>-21123.517885194189</v>
      </c>
      <c r="F23">
        <f t="shared" si="1"/>
        <v>-21123.5</v>
      </c>
      <c r="G23" s="12">
        <f t="shared" si="2"/>
        <v>-6.0335515008773655E-3</v>
      </c>
      <c r="I23" s="12">
        <f t="shared" si="3"/>
        <v>-6.0335515008773655E-3</v>
      </c>
      <c r="O23" s="12">
        <f t="shared" ca="1" si="4"/>
        <v>2.3490374909469697E-3</v>
      </c>
      <c r="Q23" s="10">
        <f t="shared" si="5"/>
        <v>30990.819000000003</v>
      </c>
      <c r="Z23">
        <v>7</v>
      </c>
      <c r="AB23" t="s">
        <v>27</v>
      </c>
      <c r="AD23" t="s">
        <v>29</v>
      </c>
    </row>
    <row r="24" spans="1:30" x14ac:dyDescent="0.2">
      <c r="A24" t="s">
        <v>30</v>
      </c>
      <c r="B24" s="4"/>
      <c r="C24" s="16">
        <v>46057.402999999998</v>
      </c>
      <c r="D24" s="16"/>
      <c r="E24">
        <f t="shared" si="0"/>
        <v>-20980.982982217731</v>
      </c>
      <c r="F24">
        <f t="shared" si="1"/>
        <v>-20981</v>
      </c>
      <c r="G24" s="12">
        <f t="shared" si="2"/>
        <v>5.7409309956710786E-3</v>
      </c>
      <c r="I24" s="12">
        <f t="shared" si="3"/>
        <v>5.7409309956710786E-3</v>
      </c>
      <c r="O24" s="12">
        <f t="shared" ca="1" si="4"/>
        <v>2.3360651880631237E-3</v>
      </c>
      <c r="Q24" s="10">
        <f t="shared" si="5"/>
        <v>31038.902999999998</v>
      </c>
      <c r="Z24">
        <v>6</v>
      </c>
      <c r="AB24" t="s">
        <v>27</v>
      </c>
      <c r="AD24" t="s">
        <v>29</v>
      </c>
    </row>
    <row r="25" spans="1:30" x14ac:dyDescent="0.2">
      <c r="A25" t="s">
        <v>31</v>
      </c>
      <c r="B25" s="4" t="s">
        <v>38</v>
      </c>
      <c r="C25" s="16">
        <v>46144.606</v>
      </c>
      <c r="D25" s="16"/>
      <c r="E25">
        <f t="shared" si="0"/>
        <v>-20722.488032873716</v>
      </c>
      <c r="F25">
        <f t="shared" si="1"/>
        <v>-20722.5</v>
      </c>
      <c r="G25" s="12">
        <f t="shared" si="2"/>
        <v>4.037097496620845E-3</v>
      </c>
      <c r="I25" s="12">
        <f t="shared" si="3"/>
        <v>4.037097496620845E-3</v>
      </c>
      <c r="O25" s="12">
        <f t="shared" ca="1" si="4"/>
        <v>2.3125329754633043E-3</v>
      </c>
      <c r="Q25" s="10">
        <f t="shared" si="5"/>
        <v>31126.106</v>
      </c>
      <c r="Z25">
        <v>6</v>
      </c>
      <c r="AB25" t="s">
        <v>27</v>
      </c>
      <c r="AD25" t="s">
        <v>29</v>
      </c>
    </row>
    <row r="26" spans="1:30" x14ac:dyDescent="0.2">
      <c r="A26" t="s">
        <v>32</v>
      </c>
      <c r="B26" s="4" t="s">
        <v>38</v>
      </c>
      <c r="C26" s="16">
        <v>46219.487000000001</v>
      </c>
      <c r="D26" s="16"/>
      <c r="E26">
        <f t="shared" si="0"/>
        <v>-20500.519060455001</v>
      </c>
      <c r="F26">
        <f t="shared" si="1"/>
        <v>-20500.5</v>
      </c>
      <c r="G26" s="12">
        <f t="shared" si="2"/>
        <v>-6.4300244994228706E-3</v>
      </c>
      <c r="I26" s="12">
        <f t="shared" si="3"/>
        <v>-6.4300244994228706E-3</v>
      </c>
      <c r="O26" s="12">
        <f t="shared" ca="1" si="4"/>
        <v>2.2923234930758386E-3</v>
      </c>
      <c r="Q26" s="10">
        <f t="shared" si="5"/>
        <v>31200.987000000001</v>
      </c>
      <c r="Z26">
        <v>7</v>
      </c>
      <c r="AB26" t="s">
        <v>27</v>
      </c>
      <c r="AD26" t="s">
        <v>29</v>
      </c>
    </row>
    <row r="27" spans="1:30" x14ac:dyDescent="0.2">
      <c r="A27" t="s">
        <v>33</v>
      </c>
      <c r="B27" s="4"/>
      <c r="C27" s="16">
        <v>46452.421999999999</v>
      </c>
      <c r="D27" s="16"/>
      <c r="E27">
        <f t="shared" si="0"/>
        <v>-19810.032253516634</v>
      </c>
      <c r="F27">
        <f t="shared" si="1"/>
        <v>-19810</v>
      </c>
      <c r="G27" s="12">
        <f t="shared" si="2"/>
        <v>-1.0880690002522897E-2</v>
      </c>
      <c r="I27" s="12">
        <f t="shared" si="3"/>
        <v>-1.0880690002522897E-2</v>
      </c>
      <c r="O27" s="12">
        <f t="shared" ca="1" si="4"/>
        <v>2.2294647201544643E-3</v>
      </c>
      <c r="Q27" s="10">
        <f t="shared" si="5"/>
        <v>31433.921999999999</v>
      </c>
      <c r="Z27">
        <v>4</v>
      </c>
      <c r="AB27" t="s">
        <v>27</v>
      </c>
      <c r="AD27" t="s">
        <v>29</v>
      </c>
    </row>
    <row r="28" spans="1:30" x14ac:dyDescent="0.2">
      <c r="A28" t="s">
        <v>43</v>
      </c>
      <c r="B28" s="4"/>
      <c r="C28" s="16">
        <v>47656.434000000001</v>
      </c>
      <c r="D28" s="16"/>
      <c r="E28">
        <f t="shared" si="0"/>
        <v>-16240.991957316033</v>
      </c>
      <c r="F28">
        <f t="shared" si="1"/>
        <v>-16241</v>
      </c>
      <c r="G28" s="12">
        <f t="shared" si="2"/>
        <v>2.7131909955642186E-3</v>
      </c>
      <c r="I28" s="12">
        <f t="shared" ref="I28:I43" si="6">G28</f>
        <v>2.7131909955642186E-3</v>
      </c>
      <c r="O28" s="12">
        <f t="shared" ca="1" si="4"/>
        <v>1.9045654289793954E-3</v>
      </c>
      <c r="Q28" s="10">
        <f t="shared" si="5"/>
        <v>32637.934000000001</v>
      </c>
      <c r="Z28">
        <v>7</v>
      </c>
      <c r="AB28" t="s">
        <v>34</v>
      </c>
      <c r="AD28" t="s">
        <v>29</v>
      </c>
    </row>
    <row r="29" spans="1:30" x14ac:dyDescent="0.2">
      <c r="A29" s="11" t="s">
        <v>44</v>
      </c>
      <c r="B29" s="4"/>
      <c r="C29" s="16">
        <v>47791.538</v>
      </c>
      <c r="D29" s="16"/>
      <c r="E29">
        <f t="shared" ref="E29:E48" si="7">+(C29-C$7)/C$8</f>
        <v>-15840.504569999392</v>
      </c>
      <c r="F29">
        <f t="shared" si="1"/>
        <v>-15840.5</v>
      </c>
      <c r="G29" s="12">
        <f t="shared" ref="G29:G48" si="8">+C29-(C$7+F29*C$8)</f>
        <v>-1.5416844980791211E-3</v>
      </c>
      <c r="I29" s="12">
        <f t="shared" si="6"/>
        <v>-1.5416844980791211E-3</v>
      </c>
      <c r="O29" s="12">
        <f t="shared" ref="O29:O48" ca="1" si="9">+C$11+C$12*$F29</f>
        <v>1.8681064303479537E-3</v>
      </c>
      <c r="Q29" s="10">
        <f t="shared" ref="Q29:Q48" si="10">+C29-15018.5</f>
        <v>32773.038</v>
      </c>
      <c r="Z29">
        <v>10</v>
      </c>
      <c r="AB29" t="s">
        <v>34</v>
      </c>
      <c r="AD29" t="s">
        <v>29</v>
      </c>
    </row>
    <row r="30" spans="1:30" x14ac:dyDescent="0.2">
      <c r="A30" t="s">
        <v>45</v>
      </c>
      <c r="B30" s="4"/>
      <c r="C30" s="16">
        <v>47947.392</v>
      </c>
      <c r="D30" s="16"/>
      <c r="E30">
        <f t="shared" si="0"/>
        <v>-15378.508172684378</v>
      </c>
      <c r="F30">
        <f t="shared" si="1"/>
        <v>-15378.5</v>
      </c>
      <c r="G30" s="12">
        <f t="shared" si="2"/>
        <v>-2.7570465026656166E-3</v>
      </c>
      <c r="I30" s="12">
        <f t="shared" si="6"/>
        <v>-2.7570465026656166E-3</v>
      </c>
      <c r="O30" s="12">
        <f t="shared" ca="1" si="4"/>
        <v>1.8260488588929574E-3</v>
      </c>
      <c r="Q30" s="10">
        <f t="shared" si="5"/>
        <v>32928.892</v>
      </c>
      <c r="Z30">
        <v>17</v>
      </c>
      <c r="AB30" t="s">
        <v>34</v>
      </c>
      <c r="AD30" t="s">
        <v>29</v>
      </c>
    </row>
    <row r="31" spans="1:30" x14ac:dyDescent="0.2">
      <c r="A31" s="13" t="s">
        <v>46</v>
      </c>
      <c r="B31" s="4"/>
      <c r="C31" s="16">
        <v>48064.449000000001</v>
      </c>
      <c r="D31" s="16"/>
      <c r="E31">
        <f t="shared" si="0"/>
        <v>-15031.517320473307</v>
      </c>
      <c r="F31">
        <f t="shared" si="1"/>
        <v>-15031.5</v>
      </c>
      <c r="G31" s="12">
        <f t="shared" si="2"/>
        <v>-5.8430435019545257E-3</v>
      </c>
      <c r="I31" s="12">
        <f t="shared" si="6"/>
        <v>-5.8430435019545257E-3</v>
      </c>
      <c r="O31" s="12">
        <f t="shared" ca="1" si="4"/>
        <v>1.7944601634494863E-3</v>
      </c>
      <c r="Q31" s="10">
        <f t="shared" si="5"/>
        <v>33045.949000000001</v>
      </c>
      <c r="Z31">
        <v>17</v>
      </c>
      <c r="AB31" t="s">
        <v>34</v>
      </c>
      <c r="AD31" t="s">
        <v>29</v>
      </c>
    </row>
    <row r="32" spans="1:30" x14ac:dyDescent="0.2">
      <c r="A32" t="s">
        <v>46</v>
      </c>
      <c r="B32" s="4"/>
      <c r="C32" s="16">
        <v>48127.54</v>
      </c>
      <c r="D32" s="16"/>
      <c r="E32">
        <f t="shared" si="7"/>
        <v>-14844.497322892226</v>
      </c>
      <c r="F32">
        <f t="shared" si="1"/>
        <v>-14844.5</v>
      </c>
      <c r="G32" s="12">
        <f t="shared" si="8"/>
        <v>9.0311950043542311E-4</v>
      </c>
      <c r="I32" s="12">
        <f t="shared" si="6"/>
        <v>9.0311950043542311E-4</v>
      </c>
      <c r="O32" s="12">
        <f t="shared" ca="1" si="9"/>
        <v>1.7774368607177018E-3</v>
      </c>
      <c r="Q32" s="10">
        <f t="shared" si="10"/>
        <v>33109.040000000001</v>
      </c>
    </row>
    <row r="33" spans="1:17" x14ac:dyDescent="0.2">
      <c r="A33" t="s">
        <v>46</v>
      </c>
      <c r="B33" s="4"/>
      <c r="C33" s="16">
        <v>48439.421999999999</v>
      </c>
      <c r="D33" s="16"/>
      <c r="E33">
        <f t="shared" si="7"/>
        <v>-13919.988741865105</v>
      </c>
      <c r="F33">
        <f t="shared" si="1"/>
        <v>-13920</v>
      </c>
      <c r="G33" s="12">
        <f t="shared" si="8"/>
        <v>3.7979199987603351E-3</v>
      </c>
      <c r="I33" s="12">
        <f t="shared" si="6"/>
        <v>3.7979199987603351E-3</v>
      </c>
      <c r="O33" s="12">
        <f t="shared" ca="1" si="9"/>
        <v>1.6932762009554854E-3</v>
      </c>
      <c r="Q33" s="10">
        <f t="shared" si="10"/>
        <v>33420.921999999999</v>
      </c>
    </row>
    <row r="34" spans="1:17" x14ac:dyDescent="0.2">
      <c r="A34" t="s">
        <v>47</v>
      </c>
      <c r="B34" s="4"/>
      <c r="C34" s="16">
        <v>48439.427000000003</v>
      </c>
      <c r="D34" s="16"/>
      <c r="E34">
        <f t="shared" si="0"/>
        <v>-13919.973920416898</v>
      </c>
      <c r="F34">
        <f t="shared" si="1"/>
        <v>-13920</v>
      </c>
      <c r="G34" s="12">
        <f t="shared" si="2"/>
        <v>8.797920003416948E-3</v>
      </c>
      <c r="I34" s="12">
        <f t="shared" si="6"/>
        <v>8.797920003416948E-3</v>
      </c>
      <c r="O34" s="12">
        <f t="shared" ca="1" si="4"/>
        <v>1.6932762009554854E-3</v>
      </c>
      <c r="Q34" s="10">
        <f t="shared" si="5"/>
        <v>33420.927000000003</v>
      </c>
    </row>
    <row r="35" spans="1:17" x14ac:dyDescent="0.2">
      <c r="A35" t="s">
        <v>48</v>
      </c>
      <c r="B35" s="4"/>
      <c r="C35" s="16">
        <v>48439.430999999997</v>
      </c>
      <c r="D35" s="16"/>
      <c r="E35">
        <f t="shared" si="7"/>
        <v>-13919.962063258365</v>
      </c>
      <c r="F35">
        <f t="shared" si="1"/>
        <v>-13920</v>
      </c>
      <c r="G35" s="12">
        <f t="shared" si="8"/>
        <v>1.2797919996955898E-2</v>
      </c>
      <c r="I35" s="12">
        <f t="shared" si="6"/>
        <v>1.2797919996955898E-2</v>
      </c>
      <c r="O35" s="12">
        <f t="shared" ca="1" si="9"/>
        <v>1.6932762009554854E-3</v>
      </c>
      <c r="Q35" s="10">
        <f t="shared" si="10"/>
        <v>33420.930999999997</v>
      </c>
    </row>
    <row r="36" spans="1:17" x14ac:dyDescent="0.2">
      <c r="A36" t="s">
        <v>49</v>
      </c>
      <c r="B36" s="4"/>
      <c r="C36" s="16">
        <v>48439.438000000002</v>
      </c>
      <c r="D36" s="16"/>
      <c r="E36">
        <f t="shared" si="7"/>
        <v>-13919.94131323088</v>
      </c>
      <c r="F36">
        <f t="shared" si="1"/>
        <v>-13920</v>
      </c>
      <c r="G36" s="12">
        <f t="shared" si="8"/>
        <v>1.9797920002019964E-2</v>
      </c>
      <c r="I36" s="12">
        <f t="shared" si="6"/>
        <v>1.9797920002019964E-2</v>
      </c>
      <c r="O36" s="12">
        <f t="shared" ca="1" si="9"/>
        <v>1.6932762009554854E-3</v>
      </c>
      <c r="Q36" s="10">
        <f t="shared" si="10"/>
        <v>33420.938000000002</v>
      </c>
    </row>
    <row r="37" spans="1:17" x14ac:dyDescent="0.2">
      <c r="A37" t="s">
        <v>50</v>
      </c>
      <c r="B37" s="4"/>
      <c r="C37" s="16">
        <v>48439.442000000003</v>
      </c>
      <c r="D37" s="16"/>
      <c r="E37">
        <f t="shared" si="7"/>
        <v>-13919.929456072323</v>
      </c>
      <c r="F37">
        <f t="shared" si="1"/>
        <v>-13920</v>
      </c>
      <c r="G37" s="12">
        <f t="shared" si="8"/>
        <v>2.3797920002834871E-2</v>
      </c>
      <c r="I37" s="12">
        <f t="shared" si="6"/>
        <v>2.3797920002834871E-2</v>
      </c>
      <c r="O37" s="12">
        <f t="shared" ca="1" si="9"/>
        <v>1.6932762009554854E-3</v>
      </c>
      <c r="Q37" s="10">
        <f t="shared" si="10"/>
        <v>33420.942000000003</v>
      </c>
    </row>
    <row r="38" spans="1:17" x14ac:dyDescent="0.2">
      <c r="A38" t="s">
        <v>46</v>
      </c>
      <c r="B38" s="4"/>
      <c r="C38" s="16">
        <v>48453.425999999999</v>
      </c>
      <c r="D38" s="16"/>
      <c r="E38">
        <f t="shared" si="7"/>
        <v>-13878.476829767887</v>
      </c>
      <c r="F38">
        <f t="shared" si="1"/>
        <v>-13878.5</v>
      </c>
      <c r="G38" s="12">
        <f t="shared" si="8"/>
        <v>7.8164535007090308E-3</v>
      </c>
      <c r="I38" s="12">
        <f t="shared" si="6"/>
        <v>7.8164535007090308E-3</v>
      </c>
      <c r="O38" s="12">
        <f t="shared" ca="1" si="9"/>
        <v>1.6894983022208915E-3</v>
      </c>
      <c r="Q38" s="10">
        <f t="shared" si="10"/>
        <v>33434.925999999999</v>
      </c>
    </row>
    <row r="39" spans="1:17" x14ac:dyDescent="0.2">
      <c r="A39" t="s">
        <v>46</v>
      </c>
      <c r="B39" s="4"/>
      <c r="C39" s="16">
        <v>48622.425999999999</v>
      </c>
      <c r="D39" s="16"/>
      <c r="E39">
        <f t="shared" si="7"/>
        <v>-13377.511880865466</v>
      </c>
      <c r="F39">
        <f t="shared" si="1"/>
        <v>-13377.5</v>
      </c>
      <c r="G39" s="12">
        <f t="shared" si="8"/>
        <v>-4.007997500593774E-3</v>
      </c>
      <c r="I39" s="12">
        <f t="shared" si="6"/>
        <v>-4.007997500593774E-3</v>
      </c>
      <c r="O39" s="12">
        <f t="shared" ca="1" si="9"/>
        <v>1.6438904162924214E-3</v>
      </c>
      <c r="Q39" s="10">
        <f t="shared" si="10"/>
        <v>33603.925999999999</v>
      </c>
    </row>
    <row r="40" spans="1:17" x14ac:dyDescent="0.2">
      <c r="A40" t="s">
        <v>46</v>
      </c>
      <c r="B40" s="4"/>
      <c r="C40" s="16">
        <v>48983.394</v>
      </c>
      <c r="D40" s="16"/>
      <c r="E40">
        <f t="shared" si="7"/>
        <v>-12307.498178644111</v>
      </c>
      <c r="F40">
        <f t="shared" si="1"/>
        <v>-12307.5</v>
      </c>
      <c r="G40" s="12">
        <f t="shared" si="8"/>
        <v>6.144325016066432E-4</v>
      </c>
      <c r="I40" s="12">
        <f t="shared" si="6"/>
        <v>6.144325016066432E-4</v>
      </c>
      <c r="O40" s="12">
        <f t="shared" ca="1" si="9"/>
        <v>1.5464843525330144E-3</v>
      </c>
      <c r="Q40" s="10">
        <f t="shared" si="10"/>
        <v>33964.894</v>
      </c>
    </row>
    <row r="41" spans="1:17" x14ac:dyDescent="0.2">
      <c r="A41" t="s">
        <v>46</v>
      </c>
      <c r="B41" s="4"/>
      <c r="C41" s="16">
        <v>49101.46</v>
      </c>
      <c r="D41" s="16"/>
      <c r="E41">
        <f t="shared" si="7"/>
        <v>-11957.516358187824</v>
      </c>
      <c r="F41">
        <f t="shared" si="1"/>
        <v>-11957.5</v>
      </c>
      <c r="G41" s="12">
        <f t="shared" si="8"/>
        <v>-5.5184174998430535E-3</v>
      </c>
      <c r="I41" s="12">
        <f t="shared" si="6"/>
        <v>-5.5184174998430535E-3</v>
      </c>
      <c r="O41" s="12">
        <f t="shared" ca="1" si="9"/>
        <v>1.5146225559761991E-3</v>
      </c>
      <c r="Q41" s="10">
        <f t="shared" si="10"/>
        <v>34082.959999999999</v>
      </c>
    </row>
    <row r="42" spans="1:17" x14ac:dyDescent="0.2">
      <c r="A42" t="s">
        <v>46</v>
      </c>
      <c r="B42" s="4"/>
      <c r="C42" s="16">
        <v>49399.516000000003</v>
      </c>
      <c r="D42" s="16"/>
      <c r="E42">
        <f t="shared" si="7"/>
        <v>-11073.992045702251</v>
      </c>
      <c r="F42">
        <f t="shared" si="1"/>
        <v>-11074</v>
      </c>
      <c r="G42" s="12">
        <f t="shared" si="8"/>
        <v>2.6833740048459731E-3</v>
      </c>
      <c r="I42" s="12">
        <f t="shared" si="6"/>
        <v>2.6833740048459731E-3</v>
      </c>
      <c r="O42" s="12">
        <f t="shared" ca="1" si="9"/>
        <v>1.4341942780963523E-3</v>
      </c>
      <c r="Q42" s="10">
        <f t="shared" si="10"/>
        <v>34381.016000000003</v>
      </c>
    </row>
    <row r="43" spans="1:17" x14ac:dyDescent="0.2">
      <c r="A43" t="s">
        <v>46</v>
      </c>
      <c r="B43" s="4"/>
      <c r="C43" s="16">
        <v>49400.356</v>
      </c>
      <c r="D43" s="16"/>
      <c r="E43">
        <f t="shared" si="7"/>
        <v>-11071.502042405942</v>
      </c>
      <c r="F43">
        <f t="shared" si="1"/>
        <v>-11071.5</v>
      </c>
      <c r="G43" s="12">
        <f t="shared" si="8"/>
        <v>-6.8900350015610456E-4</v>
      </c>
      <c r="I43" s="12">
        <f t="shared" si="6"/>
        <v>-6.8900350015610456E-4</v>
      </c>
      <c r="O43" s="12">
        <f t="shared" ca="1" si="9"/>
        <v>1.4339666938352322E-3</v>
      </c>
      <c r="Q43" s="10">
        <f t="shared" si="10"/>
        <v>34381.856</v>
      </c>
    </row>
    <row r="44" spans="1:17" x14ac:dyDescent="0.2">
      <c r="A44" t="s">
        <v>35</v>
      </c>
      <c r="B44" s="4" t="s">
        <v>38</v>
      </c>
      <c r="C44" s="16">
        <v>49745.470999999998</v>
      </c>
      <c r="D44" s="16">
        <v>5.0000000000000001E-3</v>
      </c>
      <c r="E44">
        <f t="shared" si="7"/>
        <v>-10048.481223823352</v>
      </c>
      <c r="F44">
        <f t="shared" si="1"/>
        <v>-10048.5</v>
      </c>
      <c r="G44" s="12">
        <f t="shared" si="8"/>
        <v>6.334123492706567E-3</v>
      </c>
      <c r="I44" s="12">
        <f>+G44</f>
        <v>6.334123492706567E-3</v>
      </c>
      <c r="O44" s="12">
        <f t="shared" ca="1" si="9"/>
        <v>1.3408392141848833E-3</v>
      </c>
      <c r="Q44" s="10">
        <f t="shared" si="10"/>
        <v>34726.970999999998</v>
      </c>
    </row>
    <row r="45" spans="1:17" x14ac:dyDescent="0.2">
      <c r="A45" t="s">
        <v>51</v>
      </c>
      <c r="B45" s="4"/>
      <c r="C45" s="16">
        <v>49745.470999999998</v>
      </c>
      <c r="D45" s="16"/>
      <c r="E45">
        <f t="shared" si="7"/>
        <v>-10048.481223823352</v>
      </c>
      <c r="F45">
        <f t="shared" si="1"/>
        <v>-10048.5</v>
      </c>
      <c r="G45" s="12">
        <f t="shared" si="8"/>
        <v>6.334123492706567E-3</v>
      </c>
      <c r="I45" s="12">
        <f>G45</f>
        <v>6.334123492706567E-3</v>
      </c>
      <c r="O45" s="12">
        <f t="shared" ca="1" si="9"/>
        <v>1.3408392141848833E-3</v>
      </c>
      <c r="Q45" s="10">
        <f t="shared" si="10"/>
        <v>34726.970999999998</v>
      </c>
    </row>
    <row r="46" spans="1:17" x14ac:dyDescent="0.2">
      <c r="A46" t="s">
        <v>52</v>
      </c>
      <c r="B46" s="4"/>
      <c r="C46" s="16">
        <v>49749.346899999997</v>
      </c>
      <c r="D46" s="16"/>
      <c r="E46">
        <f t="shared" si="7"/>
        <v>-10036.991933613586</v>
      </c>
      <c r="F46">
        <f t="shared" si="1"/>
        <v>-10037</v>
      </c>
      <c r="G46" s="12">
        <f t="shared" si="8"/>
        <v>2.7211869964958169E-3</v>
      </c>
      <c r="J46" s="12">
        <f>G46</f>
        <v>2.7211869964958169E-3</v>
      </c>
      <c r="O46" s="12">
        <f t="shared" ca="1" si="9"/>
        <v>1.3397923265837308E-3</v>
      </c>
      <c r="Q46" s="10">
        <f t="shared" si="10"/>
        <v>34730.846899999997</v>
      </c>
    </row>
    <row r="47" spans="1:17" x14ac:dyDescent="0.2">
      <c r="A47" t="s">
        <v>35</v>
      </c>
      <c r="B47" s="4"/>
      <c r="C47" s="16">
        <v>49761.487999999998</v>
      </c>
      <c r="D47" s="16">
        <v>8.0000000000000002E-3</v>
      </c>
      <c r="E47">
        <f t="shared" si="7"/>
        <v>-10001.002196683885</v>
      </c>
      <c r="F47">
        <f t="shared" si="1"/>
        <v>-10001</v>
      </c>
      <c r="G47" s="12">
        <f t="shared" si="8"/>
        <v>-7.4104900704696774E-4</v>
      </c>
      <c r="I47" s="12">
        <f>+G47</f>
        <v>-7.4104900704696774E-4</v>
      </c>
      <c r="O47" s="12">
        <f t="shared" ca="1" si="9"/>
        <v>1.336515113223601E-3</v>
      </c>
      <c r="Q47" s="10">
        <f t="shared" si="10"/>
        <v>34742.987999999998</v>
      </c>
    </row>
    <row r="48" spans="1:17" x14ac:dyDescent="0.2">
      <c r="A48" t="s">
        <v>51</v>
      </c>
      <c r="B48" s="4"/>
      <c r="C48" s="16">
        <v>49761.487999999998</v>
      </c>
      <c r="D48" s="16"/>
      <c r="E48">
        <f t="shared" si="7"/>
        <v>-10001.002196683885</v>
      </c>
      <c r="F48">
        <f t="shared" si="1"/>
        <v>-10001</v>
      </c>
      <c r="G48" s="12">
        <f t="shared" si="8"/>
        <v>-7.4104900704696774E-4</v>
      </c>
      <c r="J48" s="12">
        <f t="shared" ref="J48:J53" si="11">G48</f>
        <v>-7.4104900704696774E-4</v>
      </c>
      <c r="O48" s="12">
        <f t="shared" ca="1" si="9"/>
        <v>1.336515113223601E-3</v>
      </c>
      <c r="Q48" s="10">
        <f t="shared" si="10"/>
        <v>34742.987999999998</v>
      </c>
    </row>
    <row r="49" spans="1:17" x14ac:dyDescent="0.2">
      <c r="A49" t="s">
        <v>52</v>
      </c>
      <c r="B49" s="4"/>
      <c r="C49" s="16">
        <v>49779.377899999999</v>
      </c>
      <c r="D49" s="16"/>
      <c r="E49">
        <f t="shared" ref="E49:E78" si="12">+(C49-C$7)/C$8</f>
        <v>-9947.9713514805098</v>
      </c>
      <c r="F49">
        <f t="shared" ref="F49:F78" si="13">ROUND(2*E49,0)/2</f>
        <v>-9948</v>
      </c>
      <c r="G49" s="12">
        <f t="shared" ref="G49:G78" si="14">+C49-(C$7+F49*C$8)</f>
        <v>9.6645480007282458E-3</v>
      </c>
      <c r="J49" s="12">
        <f t="shared" si="11"/>
        <v>9.6645480007282458E-3</v>
      </c>
      <c r="O49" s="12">
        <f t="shared" ref="O49:O78" ca="1" si="15">+C$11+C$12*$F49</f>
        <v>1.3316903268878548E-3</v>
      </c>
      <c r="Q49" s="10">
        <f t="shared" ref="Q49:Q78" si="16">+C49-15018.5</f>
        <v>34760.877899999999</v>
      </c>
    </row>
    <row r="50" spans="1:17" x14ac:dyDescent="0.2">
      <c r="A50" t="s">
        <v>52</v>
      </c>
      <c r="B50" s="4"/>
      <c r="C50" s="16">
        <v>49779.539700000001</v>
      </c>
      <c r="D50" s="16"/>
      <c r="E50">
        <f t="shared" si="12"/>
        <v>-9947.4917294169991</v>
      </c>
      <c r="F50">
        <f t="shared" si="13"/>
        <v>-9947.5</v>
      </c>
      <c r="G50" s="12">
        <f t="shared" si="14"/>
        <v>2.7900724962819368E-3</v>
      </c>
      <c r="J50" s="12">
        <f t="shared" si="11"/>
        <v>2.7900724962819368E-3</v>
      </c>
      <c r="O50" s="12">
        <f t="shared" ca="1" si="15"/>
        <v>1.3316448100356307E-3</v>
      </c>
      <c r="Q50" s="10">
        <f t="shared" si="16"/>
        <v>34761.039700000001</v>
      </c>
    </row>
    <row r="51" spans="1:17" x14ac:dyDescent="0.2">
      <c r="A51" t="s">
        <v>52</v>
      </c>
      <c r="B51" s="4"/>
      <c r="C51" s="16">
        <v>50079.609700000001</v>
      </c>
      <c r="D51" s="16"/>
      <c r="E51">
        <f t="shared" si="12"/>
        <v>-9057.9973375995487</v>
      </c>
      <c r="F51">
        <f t="shared" si="13"/>
        <v>-9058</v>
      </c>
      <c r="G51" s="12">
        <f t="shared" si="14"/>
        <v>8.9815799583448097E-4</v>
      </c>
      <c r="J51" s="12">
        <f t="shared" si="11"/>
        <v>8.9815799583448097E-4</v>
      </c>
      <c r="O51" s="12">
        <f t="shared" ca="1" si="15"/>
        <v>1.2506703299290955E-3</v>
      </c>
      <c r="Q51" s="10">
        <f t="shared" si="16"/>
        <v>35061.109700000001</v>
      </c>
    </row>
    <row r="52" spans="1:17" x14ac:dyDescent="0.2">
      <c r="A52" t="s">
        <v>52</v>
      </c>
      <c r="B52" s="4"/>
      <c r="C52" s="16">
        <v>50097.324200000003</v>
      </c>
      <c r="D52" s="16"/>
      <c r="E52">
        <f t="shared" si="12"/>
        <v>-9005.4864287987639</v>
      </c>
      <c r="F52">
        <f t="shared" si="13"/>
        <v>-9005.5</v>
      </c>
      <c r="G52" s="12">
        <f t="shared" si="14"/>
        <v>4.5782305023749359E-3</v>
      </c>
      <c r="J52" s="12">
        <f t="shared" si="11"/>
        <v>4.5782305023749359E-3</v>
      </c>
      <c r="O52" s="12">
        <f t="shared" ca="1" si="15"/>
        <v>1.2458910604455733E-3</v>
      </c>
      <c r="Q52" s="10">
        <f t="shared" si="16"/>
        <v>35078.824200000003</v>
      </c>
    </row>
    <row r="53" spans="1:17" x14ac:dyDescent="0.2">
      <c r="A53" t="s">
        <v>52</v>
      </c>
      <c r="B53" s="4"/>
      <c r="C53" s="16">
        <v>50097.489500000003</v>
      </c>
      <c r="D53" s="16"/>
      <c r="E53">
        <f t="shared" si="12"/>
        <v>-9004.9964317215217</v>
      </c>
      <c r="F53">
        <f t="shared" si="13"/>
        <v>-9005</v>
      </c>
      <c r="G53" s="12">
        <f t="shared" si="14"/>
        <v>1.2037550040986389E-3</v>
      </c>
      <c r="J53" s="12">
        <f t="shared" si="11"/>
        <v>1.2037550040986389E-3</v>
      </c>
      <c r="O53" s="12">
        <f t="shared" ca="1" si="15"/>
        <v>1.2458455435933494E-3</v>
      </c>
      <c r="Q53" s="10">
        <f t="shared" si="16"/>
        <v>35078.989500000003</v>
      </c>
    </row>
    <row r="54" spans="1:17" x14ac:dyDescent="0.2">
      <c r="A54" t="s">
        <v>36</v>
      </c>
      <c r="B54" s="4" t="s">
        <v>38</v>
      </c>
      <c r="C54" s="16">
        <v>50097.652999999998</v>
      </c>
      <c r="D54" s="16">
        <v>0.01</v>
      </c>
      <c r="E54">
        <f t="shared" si="12"/>
        <v>-9004.5117703656451</v>
      </c>
      <c r="F54">
        <f t="shared" si="13"/>
        <v>-9004.5</v>
      </c>
      <c r="G54" s="12">
        <f t="shared" si="14"/>
        <v>-3.9707205069134943E-3</v>
      </c>
      <c r="I54" s="12">
        <f>+G54</f>
        <v>-3.9707205069134943E-3</v>
      </c>
      <c r="O54" s="12">
        <f t="shared" ca="1" si="15"/>
        <v>1.2458000267411254E-3</v>
      </c>
      <c r="Q54" s="10">
        <f t="shared" si="16"/>
        <v>35079.152999999998</v>
      </c>
    </row>
    <row r="55" spans="1:17" x14ac:dyDescent="0.2">
      <c r="A55" t="s">
        <v>53</v>
      </c>
      <c r="B55" s="4"/>
      <c r="C55" s="16">
        <v>50097.652999999998</v>
      </c>
      <c r="D55" s="16"/>
      <c r="E55">
        <f t="shared" si="12"/>
        <v>-9004.5117703656451</v>
      </c>
      <c r="F55">
        <f t="shared" si="13"/>
        <v>-9004.5</v>
      </c>
      <c r="G55" s="12">
        <f t="shared" si="14"/>
        <v>-3.9707205069134943E-3</v>
      </c>
      <c r="I55" s="12">
        <f>G55</f>
        <v>-3.9707205069134943E-3</v>
      </c>
      <c r="O55" s="12">
        <f t="shared" ca="1" si="15"/>
        <v>1.2458000267411254E-3</v>
      </c>
      <c r="Q55" s="10">
        <f t="shared" si="16"/>
        <v>35079.152999999998</v>
      </c>
    </row>
    <row r="56" spans="1:17" x14ac:dyDescent="0.2">
      <c r="A56" t="s">
        <v>37</v>
      </c>
      <c r="B56" s="4"/>
      <c r="C56" s="16">
        <v>50520.519</v>
      </c>
      <c r="D56" s="16">
        <v>8.0000000000000002E-3</v>
      </c>
      <c r="E56">
        <f t="shared" si="12"/>
        <v>-7751.0144681019074</v>
      </c>
      <c r="F56">
        <f t="shared" si="13"/>
        <v>-7751</v>
      </c>
      <c r="G56" s="12">
        <f t="shared" si="14"/>
        <v>-4.8807990024215542E-3</v>
      </c>
      <c r="I56" s="12">
        <f>+G56</f>
        <v>-4.8807990024215542E-3</v>
      </c>
      <c r="O56" s="12">
        <f t="shared" ca="1" si="15"/>
        <v>1.1316892782155022E-3</v>
      </c>
      <c r="Q56" s="10">
        <f t="shared" si="16"/>
        <v>35502.019</v>
      </c>
    </row>
    <row r="57" spans="1:17" x14ac:dyDescent="0.2">
      <c r="A57" t="s">
        <v>54</v>
      </c>
      <c r="B57" s="4"/>
      <c r="C57" s="16">
        <v>50520.519</v>
      </c>
      <c r="D57" s="16"/>
      <c r="E57">
        <f t="shared" si="12"/>
        <v>-7751.0144681019074</v>
      </c>
      <c r="F57">
        <f t="shared" si="13"/>
        <v>-7751</v>
      </c>
      <c r="G57" s="12">
        <f t="shared" si="14"/>
        <v>-4.8807990024215542E-3</v>
      </c>
      <c r="I57" s="12">
        <f>G57</f>
        <v>-4.8807990024215542E-3</v>
      </c>
      <c r="O57" s="12">
        <f t="shared" ca="1" si="15"/>
        <v>1.1316892782155022E-3</v>
      </c>
      <c r="Q57" s="10">
        <f t="shared" si="16"/>
        <v>35502.019</v>
      </c>
    </row>
    <row r="58" spans="1:17" x14ac:dyDescent="0.2">
      <c r="A58" t="s">
        <v>42</v>
      </c>
      <c r="B58" s="4" t="s">
        <v>40</v>
      </c>
      <c r="C58" s="16">
        <v>51420.909</v>
      </c>
      <c r="D58" s="16"/>
      <c r="E58">
        <f t="shared" si="12"/>
        <v>-5081.9977205146315</v>
      </c>
      <c r="F58">
        <f t="shared" si="13"/>
        <v>-5082</v>
      </c>
      <c r="G58" s="12">
        <f t="shared" si="14"/>
        <v>7.6898199768038467E-4</v>
      </c>
      <c r="K58" s="12">
        <f>G58</f>
        <v>7.6898199768038467E-4</v>
      </c>
      <c r="O58" s="12">
        <f t="shared" ca="1" si="15"/>
        <v>8.8872032104367294E-4</v>
      </c>
      <c r="Q58" s="10">
        <f t="shared" si="16"/>
        <v>36402.409</v>
      </c>
    </row>
    <row r="59" spans="1:17" x14ac:dyDescent="0.2">
      <c r="A59" t="s">
        <v>55</v>
      </c>
      <c r="B59" s="4"/>
      <c r="C59" s="16">
        <v>52303.5818</v>
      </c>
      <c r="D59" s="16"/>
      <c r="E59">
        <f t="shared" si="12"/>
        <v>-2465.499885310157</v>
      </c>
      <c r="F59">
        <f t="shared" si="13"/>
        <v>-2465.5</v>
      </c>
      <c r="G59" s="12">
        <f t="shared" si="14"/>
        <v>3.869050124194473E-5</v>
      </c>
      <c r="K59" s="12">
        <f>G59</f>
        <v>3.869050124194473E-5</v>
      </c>
      <c r="O59" s="12">
        <f t="shared" ca="1" si="15"/>
        <v>6.5053063335536595E-4</v>
      </c>
      <c r="Q59" s="10">
        <f t="shared" si="16"/>
        <v>37285.0818</v>
      </c>
    </row>
    <row r="60" spans="1:17" x14ac:dyDescent="0.2">
      <c r="A60" t="s">
        <v>39</v>
      </c>
      <c r="B60" s="9" t="s">
        <v>40</v>
      </c>
      <c r="C60" s="16">
        <v>52308.642800000001</v>
      </c>
      <c r="D60" s="16">
        <v>2.9999999999999997E-4</v>
      </c>
      <c r="E60">
        <f t="shared" si="12"/>
        <v>-2450.4976154498263</v>
      </c>
      <c r="F60">
        <f t="shared" si="13"/>
        <v>-2450.5</v>
      </c>
      <c r="G60" s="12">
        <f t="shared" si="14"/>
        <v>8.0442550097359344E-4</v>
      </c>
      <c r="J60" s="12">
        <f>G60</f>
        <v>8.0442550097359344E-4</v>
      </c>
      <c r="O60" s="12">
        <f t="shared" ca="1" si="15"/>
        <v>6.4916512778864528E-4</v>
      </c>
      <c r="Q60" s="10">
        <f t="shared" si="16"/>
        <v>37290.142800000001</v>
      </c>
    </row>
    <row r="61" spans="1:17" x14ac:dyDescent="0.2">
      <c r="A61" t="s">
        <v>56</v>
      </c>
      <c r="B61" s="4"/>
      <c r="C61" s="16">
        <v>52308.642800000001</v>
      </c>
      <c r="D61" s="16"/>
      <c r="E61">
        <f t="shared" si="12"/>
        <v>-2450.4976154498263</v>
      </c>
      <c r="F61">
        <f t="shared" si="13"/>
        <v>-2450.5</v>
      </c>
      <c r="G61" s="12">
        <f t="shared" si="14"/>
        <v>8.0442550097359344E-4</v>
      </c>
      <c r="K61" s="12">
        <f>G61</f>
        <v>8.0442550097359344E-4</v>
      </c>
      <c r="O61" s="12">
        <f t="shared" ca="1" si="15"/>
        <v>6.4916512778864528E-4</v>
      </c>
      <c r="Q61" s="10">
        <f t="shared" si="16"/>
        <v>37290.142800000001</v>
      </c>
    </row>
    <row r="62" spans="1:17" x14ac:dyDescent="0.2">
      <c r="A62" t="s">
        <v>39</v>
      </c>
      <c r="B62" s="4" t="s">
        <v>40</v>
      </c>
      <c r="C62" s="16">
        <v>52363.4617</v>
      </c>
      <c r="D62" s="16">
        <v>1E-4</v>
      </c>
      <c r="E62">
        <f t="shared" si="12"/>
        <v>-2287.9985181871866</v>
      </c>
      <c r="F62">
        <f t="shared" si="13"/>
        <v>-2288</v>
      </c>
      <c r="G62" s="12">
        <f t="shared" si="14"/>
        <v>4.9988799582934007E-4</v>
      </c>
      <c r="J62" s="12">
        <f>G62</f>
        <v>4.9988799582934007E-4</v>
      </c>
      <c r="O62" s="12">
        <f t="shared" ca="1" si="15"/>
        <v>6.3437215081583813E-4</v>
      </c>
      <c r="Q62" s="10">
        <f t="shared" si="16"/>
        <v>37344.9617</v>
      </c>
    </row>
    <row r="63" spans="1:17" x14ac:dyDescent="0.2">
      <c r="A63" t="s">
        <v>57</v>
      </c>
      <c r="B63" s="4"/>
      <c r="C63" s="16">
        <v>52363.4617</v>
      </c>
      <c r="D63" s="16"/>
      <c r="E63">
        <f t="shared" si="12"/>
        <v>-2287.9985181871866</v>
      </c>
      <c r="F63">
        <f t="shared" si="13"/>
        <v>-2288</v>
      </c>
      <c r="G63" s="12">
        <f t="shared" si="14"/>
        <v>4.9988799582934007E-4</v>
      </c>
      <c r="K63" s="12">
        <f>G63</f>
        <v>4.9988799582934007E-4</v>
      </c>
      <c r="O63" s="12">
        <f t="shared" ca="1" si="15"/>
        <v>6.3437215081583813E-4</v>
      </c>
      <c r="Q63" s="10">
        <f t="shared" si="16"/>
        <v>37344.9617</v>
      </c>
    </row>
    <row r="64" spans="1:17" x14ac:dyDescent="0.2">
      <c r="A64" s="15" t="s">
        <v>59</v>
      </c>
      <c r="B64" s="4" t="s">
        <v>40</v>
      </c>
      <c r="C64" s="16">
        <v>53135.315600000002</v>
      </c>
      <c r="D64" s="16">
        <v>4.0000000000000002E-4</v>
      </c>
      <c r="E64">
        <f t="shared" si="12"/>
        <v>0</v>
      </c>
      <c r="F64">
        <f t="shared" si="13"/>
        <v>0</v>
      </c>
      <c r="G64" s="12">
        <f t="shared" si="14"/>
        <v>0</v>
      </c>
      <c r="K64" s="12">
        <f>G64</f>
        <v>0</v>
      </c>
      <c r="O64" s="12">
        <f t="shared" ca="1" si="15"/>
        <v>4.2608703503871359E-4</v>
      </c>
      <c r="Q64" s="10">
        <f t="shared" si="16"/>
        <v>38116.815600000002</v>
      </c>
    </row>
    <row r="65" spans="1:17" x14ac:dyDescent="0.2">
      <c r="A65" s="34" t="s">
        <v>62</v>
      </c>
      <c r="B65" s="35"/>
      <c r="C65" s="36">
        <v>53511.457900000001</v>
      </c>
      <c r="D65" s="36">
        <v>5.9999999999999995E-4</v>
      </c>
      <c r="E65">
        <f t="shared" si="12"/>
        <v>1114.9947224824764</v>
      </c>
      <c r="F65">
        <f t="shared" si="13"/>
        <v>1115</v>
      </c>
      <c r="G65" s="12">
        <f t="shared" si="14"/>
        <v>-1.780364997102879E-3</v>
      </c>
      <c r="J65" s="12">
        <f>G65</f>
        <v>-1.780364997102879E-3</v>
      </c>
      <c r="O65" s="12">
        <f t="shared" ca="1" si="15"/>
        <v>3.2458445457914461E-4</v>
      </c>
      <c r="Q65" s="10">
        <f t="shared" si="16"/>
        <v>38492.957900000001</v>
      </c>
    </row>
    <row r="66" spans="1:17" x14ac:dyDescent="0.2">
      <c r="A66" s="36" t="s">
        <v>69</v>
      </c>
      <c r="B66" s="37" t="s">
        <v>40</v>
      </c>
      <c r="C66" s="36">
        <v>54598.398800000003</v>
      </c>
      <c r="D66" s="36">
        <v>4.0000000000000002E-4</v>
      </c>
      <c r="E66">
        <f t="shared" si="12"/>
        <v>4337.002369988104</v>
      </c>
      <c r="F66">
        <f t="shared" si="13"/>
        <v>4337</v>
      </c>
      <c r="G66" s="12">
        <f t="shared" si="14"/>
        <v>7.9951299994718283E-4</v>
      </c>
      <c r="J66" s="12">
        <f>G66</f>
        <v>7.9951299994718283E-4</v>
      </c>
      <c r="O66" s="12">
        <f t="shared" ca="1" si="15"/>
        <v>3.1273858847547019E-5</v>
      </c>
      <c r="Q66" s="10">
        <f t="shared" si="16"/>
        <v>39579.898800000003</v>
      </c>
    </row>
    <row r="67" spans="1:17" x14ac:dyDescent="0.2">
      <c r="A67" s="38" t="s">
        <v>72</v>
      </c>
      <c r="B67" s="39" t="s">
        <v>38</v>
      </c>
      <c r="C67" s="38">
        <v>54936.4228</v>
      </c>
      <c r="D67" s="38">
        <v>1E-3</v>
      </c>
      <c r="E67">
        <f t="shared" si="12"/>
        <v>5339.0034107442607</v>
      </c>
      <c r="F67">
        <f t="shared" si="13"/>
        <v>5339</v>
      </c>
      <c r="G67" s="12">
        <f t="shared" si="14"/>
        <v>1.1506110022310168E-3</v>
      </c>
      <c r="J67" s="12">
        <f>G67</f>
        <v>1.1506110022310168E-3</v>
      </c>
      <c r="O67" s="12">
        <f t="shared" ca="1" si="15"/>
        <v>-5.9941913009393011E-5</v>
      </c>
      <c r="Q67" s="10">
        <f t="shared" si="16"/>
        <v>39917.9228</v>
      </c>
    </row>
    <row r="68" spans="1:17" x14ac:dyDescent="0.2">
      <c r="A68" s="38" t="s">
        <v>72</v>
      </c>
      <c r="B68" s="39" t="s">
        <v>38</v>
      </c>
      <c r="C68" s="38">
        <v>54936.4234</v>
      </c>
      <c r="D68" s="38">
        <v>5.9999999999999995E-4</v>
      </c>
      <c r="E68">
        <f t="shared" si="12"/>
        <v>5339.0051893180425</v>
      </c>
      <c r="F68">
        <f t="shared" si="13"/>
        <v>5339</v>
      </c>
      <c r="G68" s="12">
        <f t="shared" si="14"/>
        <v>1.7506110016256571E-3</v>
      </c>
      <c r="J68" s="12">
        <f>G68</f>
        <v>1.7506110016256571E-3</v>
      </c>
      <c r="O68" s="12">
        <f t="shared" ca="1" si="15"/>
        <v>-5.9941913009393011E-5</v>
      </c>
      <c r="Q68" s="10">
        <f t="shared" si="16"/>
        <v>39917.9234</v>
      </c>
    </row>
    <row r="69" spans="1:17" x14ac:dyDescent="0.2">
      <c r="A69" s="38" t="s">
        <v>73</v>
      </c>
      <c r="B69" s="39" t="s">
        <v>40</v>
      </c>
      <c r="C69" s="38">
        <v>55647.891100000001</v>
      </c>
      <c r="D69" s="38">
        <v>4.0000000000000002E-4</v>
      </c>
      <c r="E69">
        <f t="shared" si="12"/>
        <v>7448.0015205382952</v>
      </c>
      <c r="F69">
        <f t="shared" si="13"/>
        <v>7448</v>
      </c>
      <c r="G69" s="12">
        <f t="shared" si="14"/>
        <v>5.1295199955347925E-4</v>
      </c>
      <c r="K69" s="12">
        <f>G69</f>
        <v>5.1295199955347925E-4</v>
      </c>
      <c r="O69" s="12">
        <f t="shared" ca="1" si="15"/>
        <v>-2.5193199569031768E-4</v>
      </c>
      <c r="Q69" s="10">
        <f t="shared" si="16"/>
        <v>40629.391100000001</v>
      </c>
    </row>
    <row r="70" spans="1:17" x14ac:dyDescent="0.2">
      <c r="A70" s="38" t="s">
        <v>73</v>
      </c>
      <c r="B70" s="39" t="s">
        <v>40</v>
      </c>
      <c r="C70" s="38">
        <v>55695.794399999999</v>
      </c>
      <c r="D70" s="38">
        <v>2.0000000000000001E-4</v>
      </c>
      <c r="E70">
        <f t="shared" si="12"/>
        <v>7590.0007763770909</v>
      </c>
      <c r="F70">
        <f t="shared" si="13"/>
        <v>7590</v>
      </c>
      <c r="G70" s="12">
        <f t="shared" si="14"/>
        <v>2.6190999778918922E-4</v>
      </c>
      <c r="K70" s="12">
        <f>G70</f>
        <v>2.6190999778918922E-4</v>
      </c>
      <c r="O70" s="12">
        <f t="shared" ca="1" si="15"/>
        <v>-2.6485878172193998E-4</v>
      </c>
      <c r="Q70" s="10">
        <f t="shared" si="16"/>
        <v>40677.294399999999</v>
      </c>
    </row>
    <row r="71" spans="1:17" x14ac:dyDescent="0.2">
      <c r="A71" s="55" t="s">
        <v>74</v>
      </c>
      <c r="B71" s="56" t="s">
        <v>40</v>
      </c>
      <c r="C71" s="55">
        <v>56023.867200000001</v>
      </c>
      <c r="D71" s="55">
        <v>6.9999999999999999E-4</v>
      </c>
      <c r="E71">
        <f t="shared" si="12"/>
        <v>8562.5035780828584</v>
      </c>
      <c r="F71">
        <f t="shared" si="13"/>
        <v>8562.5</v>
      </c>
      <c r="G71" s="12">
        <f t="shared" si="14"/>
        <v>1.2070625016349368E-3</v>
      </c>
      <c r="K71" s="12">
        <f>G71</f>
        <v>1.2070625016349368E-3</v>
      </c>
      <c r="O71" s="12">
        <f t="shared" ca="1" si="15"/>
        <v>-3.5338905929766266E-4</v>
      </c>
      <c r="Q71" s="10">
        <f t="shared" si="16"/>
        <v>41005.367200000001</v>
      </c>
    </row>
    <row r="72" spans="1:17" x14ac:dyDescent="0.2">
      <c r="A72" s="55" t="s">
        <v>75</v>
      </c>
      <c r="B72" s="56"/>
      <c r="C72" s="55">
        <v>57161.404799999997</v>
      </c>
      <c r="D72" s="55">
        <v>2.0999999999999999E-3</v>
      </c>
      <c r="E72">
        <f t="shared" si="12"/>
        <v>11934.494499139542</v>
      </c>
      <c r="F72">
        <f t="shared" si="13"/>
        <v>11934.5</v>
      </c>
      <c r="G72" s="12">
        <f t="shared" si="14"/>
        <v>-1.8557095027063042E-3</v>
      </c>
      <c r="J72" s="12">
        <f>G72</f>
        <v>-1.8557095027063042E-3</v>
      </c>
      <c r="O72" s="12">
        <f t="shared" ca="1" si="15"/>
        <v>-6.6035471069646689E-4</v>
      </c>
      <c r="Q72" s="10">
        <f t="shared" si="16"/>
        <v>42142.904799999997</v>
      </c>
    </row>
    <row r="73" spans="1:17" x14ac:dyDescent="0.2">
      <c r="A73" s="58" t="s">
        <v>264</v>
      </c>
      <c r="B73" s="59" t="s">
        <v>40</v>
      </c>
      <c r="C73" s="60">
        <v>57510.393550000001</v>
      </c>
      <c r="D73" s="60">
        <v>1E-3</v>
      </c>
      <c r="E73">
        <f t="shared" si="12"/>
        <v>12968.998234709195</v>
      </c>
      <c r="F73">
        <f t="shared" si="13"/>
        <v>12969</v>
      </c>
      <c r="G73" s="12">
        <f t="shared" si="14"/>
        <v>-5.9551899903453887E-4</v>
      </c>
      <c r="K73" s="12">
        <f t="shared" ref="K73:K78" si="17">G73</f>
        <v>-5.9551899903453887E-4</v>
      </c>
      <c r="O73" s="12">
        <f t="shared" ca="1" si="15"/>
        <v>-7.5452907794796827E-4</v>
      </c>
      <c r="Q73" s="10">
        <f t="shared" si="16"/>
        <v>42491.893550000001</v>
      </c>
    </row>
    <row r="74" spans="1:17" x14ac:dyDescent="0.2">
      <c r="A74" s="58" t="s">
        <v>264</v>
      </c>
      <c r="B74" s="59" t="s">
        <v>40</v>
      </c>
      <c r="C74" s="60">
        <v>57511.404000000002</v>
      </c>
      <c r="D74" s="60">
        <v>6.9999999999999999E-4</v>
      </c>
      <c r="E74">
        <f t="shared" si="12"/>
        <v>12971.993501174398</v>
      </c>
      <c r="F74">
        <f t="shared" si="13"/>
        <v>12972</v>
      </c>
      <c r="G74" s="12">
        <f t="shared" si="14"/>
        <v>-2.1923719978076406E-3</v>
      </c>
      <c r="K74" s="12">
        <f t="shared" si="17"/>
        <v>-2.1923719978076406E-3</v>
      </c>
      <c r="O74" s="12">
        <f t="shared" ca="1" si="15"/>
        <v>-7.5480217906131238E-4</v>
      </c>
      <c r="Q74" s="10">
        <f t="shared" si="16"/>
        <v>42492.904000000002</v>
      </c>
    </row>
    <row r="75" spans="1:17" x14ac:dyDescent="0.2">
      <c r="A75" s="57" t="s">
        <v>0</v>
      </c>
      <c r="B75" s="61" t="s">
        <v>40</v>
      </c>
      <c r="C75" s="62">
        <v>57815.3557</v>
      </c>
      <c r="D75" s="62">
        <v>1.6999999999999999E-3</v>
      </c>
      <c r="E75">
        <f t="shared" si="12"/>
        <v>13872.994376081513</v>
      </c>
      <c r="F75">
        <f t="shared" si="13"/>
        <v>13873</v>
      </c>
      <c r="G75" s="12">
        <f t="shared" si="14"/>
        <v>-1.897223002742976E-3</v>
      </c>
      <c r="K75" s="12">
        <f t="shared" si="17"/>
        <v>-1.897223002742976E-3</v>
      </c>
      <c r="O75" s="12">
        <f t="shared" ca="1" si="15"/>
        <v>-8.3682354676900008E-4</v>
      </c>
      <c r="Q75" s="10">
        <f t="shared" si="16"/>
        <v>42796.8557</v>
      </c>
    </row>
    <row r="76" spans="1:17" x14ac:dyDescent="0.2">
      <c r="A76" s="57" t="s">
        <v>0</v>
      </c>
      <c r="B76" s="61" t="s">
        <v>40</v>
      </c>
      <c r="C76" s="62">
        <v>57815.519800000002</v>
      </c>
      <c r="D76" s="62">
        <v>2.3E-3</v>
      </c>
      <c r="E76">
        <f t="shared" si="12"/>
        <v>13873.480816011193</v>
      </c>
      <c r="F76">
        <f t="shared" si="13"/>
        <v>13873.5</v>
      </c>
      <c r="G76" s="12">
        <f t="shared" si="14"/>
        <v>-6.4716984998085536E-3</v>
      </c>
      <c r="K76" s="12">
        <f t="shared" si="17"/>
        <v>-6.4716984998085536E-3</v>
      </c>
      <c r="O76" s="12">
        <f t="shared" ca="1" si="15"/>
        <v>-8.3686906362122403E-4</v>
      </c>
      <c r="Q76" s="10">
        <f t="shared" si="16"/>
        <v>42797.019800000002</v>
      </c>
    </row>
    <row r="77" spans="1:17" x14ac:dyDescent="0.2">
      <c r="A77" s="57" t="s">
        <v>0</v>
      </c>
      <c r="B77" s="61" t="s">
        <v>40</v>
      </c>
      <c r="C77" s="62">
        <v>57844.368799999997</v>
      </c>
      <c r="D77" s="62">
        <v>1.6999999999999999E-3</v>
      </c>
      <c r="E77">
        <f t="shared" si="12"/>
        <v>13958.997607791567</v>
      </c>
      <c r="F77">
        <f t="shared" si="13"/>
        <v>13959</v>
      </c>
      <c r="G77" s="12">
        <f t="shared" si="14"/>
        <v>-8.0700900434749201E-4</v>
      </c>
      <c r="K77" s="12">
        <f t="shared" si="17"/>
        <v>-8.0700900434749201E-4</v>
      </c>
      <c r="O77" s="12">
        <f t="shared" ca="1" si="15"/>
        <v>-8.446524453515319E-4</v>
      </c>
      <c r="Q77" s="10">
        <f t="shared" si="16"/>
        <v>42825.868799999997</v>
      </c>
    </row>
    <row r="78" spans="1:17" x14ac:dyDescent="0.2">
      <c r="A78" s="57" t="s">
        <v>0</v>
      </c>
      <c r="B78" s="61" t="s">
        <v>40</v>
      </c>
      <c r="C78" s="62">
        <v>57844.536899999999</v>
      </c>
      <c r="D78" s="62">
        <v>1.1000000000000001E-3</v>
      </c>
      <c r="E78">
        <f t="shared" si="12"/>
        <v>13959.495904879803</v>
      </c>
      <c r="F78">
        <f t="shared" si="13"/>
        <v>13959.5</v>
      </c>
      <c r="G78" s="12">
        <f t="shared" si="14"/>
        <v>-1.3814845005981624E-3</v>
      </c>
      <c r="K78" s="12">
        <f t="shared" si="17"/>
        <v>-1.3814845005981624E-3</v>
      </c>
      <c r="O78" s="12">
        <f t="shared" ca="1" si="15"/>
        <v>-8.4469796220375585E-4</v>
      </c>
      <c r="Q78" s="10">
        <f t="shared" si="16"/>
        <v>42826.036899999999</v>
      </c>
    </row>
    <row r="79" spans="1:17" x14ac:dyDescent="0.2">
      <c r="A79" s="63" t="s">
        <v>265</v>
      </c>
      <c r="B79" s="64" t="s">
        <v>40</v>
      </c>
      <c r="C79" s="65">
        <v>59330.391100000001</v>
      </c>
      <c r="D79" s="66">
        <v>5.9999999999999995E-4</v>
      </c>
      <c r="E79">
        <f t="shared" ref="E79:E80" si="18">+(C79-C$7)/C$8</f>
        <v>18363.998114225644</v>
      </c>
      <c r="F79">
        <f t="shared" ref="F79:F80" si="19">ROUND(2*E79,0)/2</f>
        <v>18364</v>
      </c>
      <c r="G79" s="12">
        <f t="shared" ref="G79:G80" si="20">+C79-(C$7+F79*C$8)</f>
        <v>-6.3616400439059362E-4</v>
      </c>
      <c r="K79" s="12">
        <f t="shared" ref="K79:K80" si="21">G79</f>
        <v>-6.3616400439059362E-4</v>
      </c>
      <c r="O79" s="12">
        <f t="shared" ref="O79:O80" ca="1" si="22">+C$11+C$12*$F79</f>
        <v>-1.2456559134451655E-3</v>
      </c>
      <c r="Q79" s="10">
        <f t="shared" ref="Q79:Q80" si="23">+C79-15018.5</f>
        <v>44311.891100000001</v>
      </c>
    </row>
    <row r="80" spans="1:17" x14ac:dyDescent="0.2">
      <c r="A80" s="63" t="s">
        <v>265</v>
      </c>
      <c r="B80" s="64" t="s">
        <v>40</v>
      </c>
      <c r="C80" s="65">
        <v>59330.559600000001</v>
      </c>
      <c r="D80" s="66">
        <v>1E-4</v>
      </c>
      <c r="E80">
        <f t="shared" si="18"/>
        <v>18364.497597029727</v>
      </c>
      <c r="F80">
        <f t="shared" si="19"/>
        <v>18364.5</v>
      </c>
      <c r="G80" s="12">
        <f t="shared" si="20"/>
        <v>-8.1063950347015634E-4</v>
      </c>
      <c r="K80" s="12">
        <f t="shared" si="21"/>
        <v>-8.1063950347015634E-4</v>
      </c>
      <c r="O80" s="12">
        <f t="shared" ca="1" si="22"/>
        <v>-1.2457014302973894E-3</v>
      </c>
      <c r="Q80" s="10">
        <f t="shared" si="23"/>
        <v>44312.059600000001</v>
      </c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</sheetData>
  <phoneticPr fontId="0" type="noConversion"/>
  <hyperlinks>
    <hyperlink ref="H62350" r:id="rId1" display="http://vsolj.cetus-net.org/bulletin.html" xr:uid="{00000000-0004-0000-0000-000000000000}"/>
    <hyperlink ref="H62343" r:id="rId2" display="https://www.aavso.org/ejaavso" xr:uid="{00000000-0004-0000-0000-000001000000}"/>
    <hyperlink ref="I62350" r:id="rId3" display="http://vsolj.cetus-net.org/bulletin.html" xr:uid="{00000000-0004-0000-0000-000002000000}"/>
    <hyperlink ref="AQ55993" r:id="rId4" display="http://cdsbib.u-strasbg.fr/cgi-bin/cdsbib?1990RMxAA..21..381G" xr:uid="{00000000-0004-0000-0000-000003000000}"/>
    <hyperlink ref="H62347" r:id="rId5" display="https://www.aavso.org/ejaavso" xr:uid="{00000000-0004-0000-0000-000004000000}"/>
    <hyperlink ref="AP3357" r:id="rId6" display="http://cdsbib.u-strasbg.fr/cgi-bin/cdsbib?1990RMxAA..21..381G" xr:uid="{00000000-0004-0000-0000-000005000000}"/>
    <hyperlink ref="AP3360" r:id="rId7" display="http://cdsbib.u-strasbg.fr/cgi-bin/cdsbib?1990RMxAA..21..381G" xr:uid="{00000000-0004-0000-0000-000006000000}"/>
    <hyperlink ref="AP3358" r:id="rId8" display="http://cdsbib.u-strasbg.fr/cgi-bin/cdsbib?1990RMxAA..21..381G" xr:uid="{00000000-0004-0000-0000-000007000000}"/>
    <hyperlink ref="AP3342" r:id="rId9" display="http://cdsbib.u-strasbg.fr/cgi-bin/cdsbib?1990RMxAA..21..381G" xr:uid="{00000000-0004-0000-0000-000008000000}"/>
    <hyperlink ref="AQ3571" r:id="rId10" display="http://cdsbib.u-strasbg.fr/cgi-bin/cdsbib?1990RMxAA..21..381G" xr:uid="{00000000-0004-0000-0000-000009000000}"/>
    <hyperlink ref="AQ3575" r:id="rId11" display="http://cdsbib.u-strasbg.fr/cgi-bin/cdsbib?1990RMxAA..21..381G" xr:uid="{00000000-0004-0000-0000-00000A000000}"/>
    <hyperlink ref="AQ63263" r:id="rId12" display="http://cdsbib.u-strasbg.fr/cgi-bin/cdsbib?1990RMxAA..21..381G" xr:uid="{00000000-0004-0000-0000-00000B000000}"/>
    <hyperlink ref="I463" r:id="rId13" display="http://vsolj.cetus-net.org/bulletin.html" xr:uid="{00000000-0004-0000-0000-00000C000000}"/>
    <hyperlink ref="H463" r:id="rId14" display="http://vsolj.cetus-net.org/bulletin.html" xr:uid="{00000000-0004-0000-0000-00000D000000}"/>
    <hyperlink ref="AQ63924" r:id="rId15" display="http://cdsbib.u-strasbg.fr/cgi-bin/cdsbib?1990RMxAA..21..381G" xr:uid="{00000000-0004-0000-0000-00000E000000}"/>
    <hyperlink ref="AQ63923" r:id="rId16" display="http://cdsbib.u-strasbg.fr/cgi-bin/cdsbib?1990RMxAA..21..381G" xr:uid="{00000000-0004-0000-0000-00000F000000}"/>
    <hyperlink ref="AP1633" r:id="rId17" display="http://cdsbib.u-strasbg.fr/cgi-bin/cdsbib?1990RMxAA..21..381G" xr:uid="{00000000-0004-0000-0000-000010000000}"/>
    <hyperlink ref="AP1651" r:id="rId18" display="http://cdsbib.u-strasbg.fr/cgi-bin/cdsbib?1990RMxAA..21..381G" xr:uid="{00000000-0004-0000-0000-000011000000}"/>
    <hyperlink ref="AP1652" r:id="rId19" display="http://cdsbib.u-strasbg.fr/cgi-bin/cdsbib?1990RMxAA..21..381G" xr:uid="{00000000-0004-0000-0000-000012000000}"/>
    <hyperlink ref="AP16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2"/>
  <sheetViews>
    <sheetView topLeftCell="A28" workbookViewId="0">
      <selection activeCell="A11" sqref="A11:IV448"/>
    </sheetView>
  </sheetViews>
  <sheetFormatPr defaultRowHeight="12.75" x14ac:dyDescent="0.2"/>
  <cols>
    <col min="1" max="1" width="19.7109375" style="41" customWidth="1"/>
    <col min="2" max="2" width="4.42578125" style="18" customWidth="1"/>
    <col min="3" max="3" width="12.7109375" style="41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1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0" t="s">
        <v>76</v>
      </c>
      <c r="I1" s="42" t="s">
        <v>77</v>
      </c>
      <c r="J1" s="43" t="s">
        <v>78</v>
      </c>
    </row>
    <row r="2" spans="1:16" x14ac:dyDescent="0.2">
      <c r="I2" s="44" t="s">
        <v>79</v>
      </c>
      <c r="J2" s="45" t="s">
        <v>80</v>
      </c>
    </row>
    <row r="3" spans="1:16" x14ac:dyDescent="0.2">
      <c r="A3" s="46" t="s">
        <v>81</v>
      </c>
      <c r="I3" s="44" t="s">
        <v>82</v>
      </c>
      <c r="J3" s="45" t="s">
        <v>83</v>
      </c>
    </row>
    <row r="4" spans="1:16" x14ac:dyDescent="0.2">
      <c r="I4" s="44" t="s">
        <v>84</v>
      </c>
      <c r="J4" s="45" t="s">
        <v>83</v>
      </c>
    </row>
    <row r="5" spans="1:16" ht="13.5" thickBot="1" x14ac:dyDescent="0.25">
      <c r="I5" s="47" t="s">
        <v>85</v>
      </c>
      <c r="J5" s="48" t="s">
        <v>86</v>
      </c>
    </row>
    <row r="10" spans="1:16" ht="13.5" thickBot="1" x14ac:dyDescent="0.25"/>
    <row r="11" spans="1:16" ht="12.75" customHeight="1" thickBot="1" x14ac:dyDescent="0.25">
      <c r="A11" s="41" t="str">
        <f t="shared" ref="A11:A55" si="0">P11</f>
        <v> BBS 74 </v>
      </c>
      <c r="B11" s="4" t="str">
        <f t="shared" ref="B11:B55" si="1">IF(H11=INT(H11),"I","II")</f>
        <v>II</v>
      </c>
      <c r="C11" s="41">
        <f t="shared" ref="C11:C55" si="2">1*G11</f>
        <v>45957.372000000003</v>
      </c>
      <c r="D11" s="18" t="str">
        <f t="shared" ref="D11:D55" si="3">VLOOKUP(F11,I$1:J$5,2,FALSE)</f>
        <v>vis</v>
      </c>
      <c r="E11" s="49">
        <f>VLOOKUP(C11,Active!C$21:E$973,3,FALSE)</f>
        <v>-21277.503839044097</v>
      </c>
      <c r="F11" s="4" t="s">
        <v>85</v>
      </c>
      <c r="G11" s="18" t="str">
        <f t="shared" ref="G11:G55" si="4">MID(I11,3,LEN(I11)-3)</f>
        <v>45957.372</v>
      </c>
      <c r="H11" s="41">
        <f t="shared" ref="H11:H55" si="5">1*K11</f>
        <v>8199.5</v>
      </c>
      <c r="I11" s="50" t="s">
        <v>87</v>
      </c>
      <c r="J11" s="51" t="s">
        <v>88</v>
      </c>
      <c r="K11" s="50">
        <v>8199.5</v>
      </c>
      <c r="L11" s="50" t="s">
        <v>89</v>
      </c>
      <c r="M11" s="51" t="s">
        <v>90</v>
      </c>
      <c r="N11" s="51"/>
      <c r="O11" s="52" t="s">
        <v>91</v>
      </c>
      <c r="P11" s="52" t="s">
        <v>92</v>
      </c>
    </row>
    <row r="12" spans="1:16" ht="12.75" customHeight="1" thickBot="1" x14ac:dyDescent="0.25">
      <c r="A12" s="41" t="str">
        <f t="shared" si="0"/>
        <v> BBS 74 </v>
      </c>
      <c r="B12" s="4" t="str">
        <f t="shared" si="1"/>
        <v>II</v>
      </c>
      <c r="C12" s="41">
        <f t="shared" si="2"/>
        <v>46009.319000000003</v>
      </c>
      <c r="D12" s="18" t="str">
        <f t="shared" si="3"/>
        <v>vis</v>
      </c>
      <c r="E12" s="49">
        <f>VLOOKUP(C12,Active!C$21:E$973,3,FALSE)</f>
        <v>-21123.517885194189</v>
      </c>
      <c r="F12" s="4" t="s">
        <v>85</v>
      </c>
      <c r="G12" s="18" t="str">
        <f t="shared" si="4"/>
        <v>46009.319</v>
      </c>
      <c r="H12" s="41">
        <f t="shared" si="5"/>
        <v>8353.5</v>
      </c>
      <c r="I12" s="50" t="s">
        <v>93</v>
      </c>
      <c r="J12" s="51" t="s">
        <v>94</v>
      </c>
      <c r="K12" s="50">
        <v>8353.5</v>
      </c>
      <c r="L12" s="50" t="s">
        <v>95</v>
      </c>
      <c r="M12" s="51" t="s">
        <v>90</v>
      </c>
      <c r="N12" s="51"/>
      <c r="O12" s="52" t="s">
        <v>91</v>
      </c>
      <c r="P12" s="52" t="s">
        <v>92</v>
      </c>
    </row>
    <row r="13" spans="1:16" ht="12.75" customHeight="1" thickBot="1" x14ac:dyDescent="0.25">
      <c r="A13" s="41" t="str">
        <f t="shared" si="0"/>
        <v> BBS 75 </v>
      </c>
      <c r="B13" s="4" t="str">
        <f t="shared" si="1"/>
        <v>I</v>
      </c>
      <c r="C13" s="41">
        <f t="shared" si="2"/>
        <v>46057.402999999998</v>
      </c>
      <c r="D13" s="18" t="str">
        <f t="shared" si="3"/>
        <v>vis</v>
      </c>
      <c r="E13" s="49">
        <f>VLOOKUP(C13,Active!C$21:E$973,3,FALSE)</f>
        <v>-20980.982982217731</v>
      </c>
      <c r="F13" s="4" t="s">
        <v>85</v>
      </c>
      <c r="G13" s="18" t="str">
        <f t="shared" si="4"/>
        <v>46057.403</v>
      </c>
      <c r="H13" s="41">
        <f t="shared" si="5"/>
        <v>8496</v>
      </c>
      <c r="I13" s="50" t="s">
        <v>96</v>
      </c>
      <c r="J13" s="51" t="s">
        <v>97</v>
      </c>
      <c r="K13" s="50">
        <v>8496</v>
      </c>
      <c r="L13" s="50" t="s">
        <v>98</v>
      </c>
      <c r="M13" s="51" t="s">
        <v>90</v>
      </c>
      <c r="N13" s="51"/>
      <c r="O13" s="52" t="s">
        <v>91</v>
      </c>
      <c r="P13" s="52" t="s">
        <v>99</v>
      </c>
    </row>
    <row r="14" spans="1:16" ht="12.75" customHeight="1" thickBot="1" x14ac:dyDescent="0.25">
      <c r="A14" s="41" t="str">
        <f t="shared" si="0"/>
        <v> BBS 76 </v>
      </c>
      <c r="B14" s="4" t="str">
        <f t="shared" si="1"/>
        <v>II</v>
      </c>
      <c r="C14" s="41">
        <f t="shared" si="2"/>
        <v>46144.606</v>
      </c>
      <c r="D14" s="18" t="str">
        <f t="shared" si="3"/>
        <v>vis</v>
      </c>
      <c r="E14" s="49">
        <f>VLOOKUP(C14,Active!C$21:E$973,3,FALSE)</f>
        <v>-20722.488032873716</v>
      </c>
      <c r="F14" s="4" t="s">
        <v>85</v>
      </c>
      <c r="G14" s="18" t="str">
        <f t="shared" si="4"/>
        <v>46144.606</v>
      </c>
      <c r="H14" s="41">
        <f t="shared" si="5"/>
        <v>8754.5</v>
      </c>
      <c r="I14" s="50" t="s">
        <v>100</v>
      </c>
      <c r="J14" s="51" t="s">
        <v>101</v>
      </c>
      <c r="K14" s="50">
        <v>8754.5</v>
      </c>
      <c r="L14" s="50" t="s">
        <v>102</v>
      </c>
      <c r="M14" s="51" t="s">
        <v>90</v>
      </c>
      <c r="N14" s="51"/>
      <c r="O14" s="52" t="s">
        <v>91</v>
      </c>
      <c r="P14" s="52" t="s">
        <v>103</v>
      </c>
    </row>
    <row r="15" spans="1:16" ht="12.75" customHeight="1" thickBot="1" x14ac:dyDescent="0.25">
      <c r="A15" s="41" t="str">
        <f t="shared" si="0"/>
        <v> BBS 77 </v>
      </c>
      <c r="B15" s="4" t="str">
        <f t="shared" si="1"/>
        <v>II</v>
      </c>
      <c r="C15" s="41">
        <f t="shared" si="2"/>
        <v>46219.487000000001</v>
      </c>
      <c r="D15" s="18" t="str">
        <f t="shared" si="3"/>
        <v>vis</v>
      </c>
      <c r="E15" s="49">
        <f>VLOOKUP(C15,Active!C$21:E$973,3,FALSE)</f>
        <v>-20500.519060455001</v>
      </c>
      <c r="F15" s="4" t="s">
        <v>85</v>
      </c>
      <c r="G15" s="18" t="str">
        <f t="shared" si="4"/>
        <v>46219.487</v>
      </c>
      <c r="H15" s="41">
        <f t="shared" si="5"/>
        <v>8976.5</v>
      </c>
      <c r="I15" s="50" t="s">
        <v>104</v>
      </c>
      <c r="J15" s="51" t="s">
        <v>105</v>
      </c>
      <c r="K15" s="50">
        <v>8976.5</v>
      </c>
      <c r="L15" s="50" t="s">
        <v>106</v>
      </c>
      <c r="M15" s="51" t="s">
        <v>90</v>
      </c>
      <c r="N15" s="51"/>
      <c r="O15" s="52" t="s">
        <v>91</v>
      </c>
      <c r="P15" s="52" t="s">
        <v>107</v>
      </c>
    </row>
    <row r="16" spans="1:16" ht="12.75" customHeight="1" thickBot="1" x14ac:dyDescent="0.25">
      <c r="A16" s="41" t="str">
        <f t="shared" si="0"/>
        <v> BBS 79 </v>
      </c>
      <c r="B16" s="4" t="str">
        <f t="shared" si="1"/>
        <v>I</v>
      </c>
      <c r="C16" s="41">
        <f t="shared" si="2"/>
        <v>46452.421999999999</v>
      </c>
      <c r="D16" s="18" t="str">
        <f t="shared" si="3"/>
        <v>vis</v>
      </c>
      <c r="E16" s="49">
        <f>VLOOKUP(C16,Active!C$21:E$973,3,FALSE)</f>
        <v>-19810.032253516634</v>
      </c>
      <c r="F16" s="4" t="s">
        <v>85</v>
      </c>
      <c r="G16" s="18" t="str">
        <f t="shared" si="4"/>
        <v>46452.422</v>
      </c>
      <c r="H16" s="41">
        <f t="shared" si="5"/>
        <v>9667</v>
      </c>
      <c r="I16" s="50" t="s">
        <v>108</v>
      </c>
      <c r="J16" s="51" t="s">
        <v>109</v>
      </c>
      <c r="K16" s="50">
        <v>9667</v>
      </c>
      <c r="L16" s="50" t="s">
        <v>110</v>
      </c>
      <c r="M16" s="51" t="s">
        <v>90</v>
      </c>
      <c r="N16" s="51"/>
      <c r="O16" s="52" t="s">
        <v>91</v>
      </c>
      <c r="P16" s="52" t="s">
        <v>111</v>
      </c>
    </row>
    <row r="17" spans="1:16" ht="12.75" customHeight="1" thickBot="1" x14ac:dyDescent="0.25">
      <c r="A17" s="41" t="str">
        <f t="shared" si="0"/>
        <v> BRNO 30 </v>
      </c>
      <c r="B17" s="4" t="str">
        <f t="shared" si="1"/>
        <v>I</v>
      </c>
      <c r="C17" s="41">
        <f t="shared" si="2"/>
        <v>47656.434000000001</v>
      </c>
      <c r="D17" s="18" t="str">
        <f t="shared" si="3"/>
        <v>vis</v>
      </c>
      <c r="E17" s="49">
        <f>VLOOKUP(C17,Active!C$21:E$973,3,FALSE)</f>
        <v>-16240.991957316033</v>
      </c>
      <c r="F17" s="4" t="s">
        <v>85</v>
      </c>
      <c r="G17" s="18" t="str">
        <f t="shared" si="4"/>
        <v>47656.434</v>
      </c>
      <c r="H17" s="41">
        <f t="shared" si="5"/>
        <v>13236</v>
      </c>
      <c r="I17" s="50" t="s">
        <v>112</v>
      </c>
      <c r="J17" s="51" t="s">
        <v>113</v>
      </c>
      <c r="K17" s="50">
        <v>13236</v>
      </c>
      <c r="L17" s="50" t="s">
        <v>110</v>
      </c>
      <c r="M17" s="51" t="s">
        <v>90</v>
      </c>
      <c r="N17" s="51"/>
      <c r="O17" s="52" t="s">
        <v>114</v>
      </c>
      <c r="P17" s="52" t="s">
        <v>115</v>
      </c>
    </row>
    <row r="18" spans="1:16" ht="12.75" customHeight="1" thickBot="1" x14ac:dyDescent="0.25">
      <c r="A18" s="41" t="str">
        <f t="shared" si="0"/>
        <v> BRNO 30 </v>
      </c>
      <c r="B18" s="4" t="str">
        <f t="shared" si="1"/>
        <v>II</v>
      </c>
      <c r="C18" s="41">
        <f t="shared" si="2"/>
        <v>47791.538</v>
      </c>
      <c r="D18" s="18" t="str">
        <f t="shared" si="3"/>
        <v>vis</v>
      </c>
      <c r="E18" s="49">
        <f>VLOOKUP(C18,Active!C$21:E$973,3,FALSE)</f>
        <v>-15840.504569999392</v>
      </c>
      <c r="F18" s="4" t="s">
        <v>85</v>
      </c>
      <c r="G18" s="18" t="str">
        <f t="shared" si="4"/>
        <v>47791.538</v>
      </c>
      <c r="H18" s="41">
        <f t="shared" si="5"/>
        <v>13636.5</v>
      </c>
      <c r="I18" s="50" t="s">
        <v>116</v>
      </c>
      <c r="J18" s="51" t="s">
        <v>117</v>
      </c>
      <c r="K18" s="50">
        <v>13636.5</v>
      </c>
      <c r="L18" s="50" t="s">
        <v>118</v>
      </c>
      <c r="M18" s="51" t="s">
        <v>90</v>
      </c>
      <c r="N18" s="51"/>
      <c r="O18" s="52" t="s">
        <v>119</v>
      </c>
      <c r="P18" s="52" t="s">
        <v>115</v>
      </c>
    </row>
    <row r="19" spans="1:16" ht="12.75" customHeight="1" thickBot="1" x14ac:dyDescent="0.25">
      <c r="A19" s="41" t="str">
        <f t="shared" si="0"/>
        <v> BRNO 31 </v>
      </c>
      <c r="B19" s="4" t="str">
        <f t="shared" si="1"/>
        <v>II</v>
      </c>
      <c r="C19" s="41">
        <f t="shared" si="2"/>
        <v>47947.392</v>
      </c>
      <c r="D19" s="18" t="str">
        <f t="shared" si="3"/>
        <v>vis</v>
      </c>
      <c r="E19" s="49">
        <f>VLOOKUP(C19,Active!C$21:E$973,3,FALSE)</f>
        <v>-15378.508172684378</v>
      </c>
      <c r="F19" s="4" t="s">
        <v>85</v>
      </c>
      <c r="G19" s="18" t="str">
        <f t="shared" si="4"/>
        <v>47947.392</v>
      </c>
      <c r="H19" s="41">
        <f t="shared" si="5"/>
        <v>14098.5</v>
      </c>
      <c r="I19" s="50" t="s">
        <v>120</v>
      </c>
      <c r="J19" s="51" t="s">
        <v>121</v>
      </c>
      <c r="K19" s="50">
        <v>14098.5</v>
      </c>
      <c r="L19" s="50" t="s">
        <v>122</v>
      </c>
      <c r="M19" s="51" t="s">
        <v>90</v>
      </c>
      <c r="N19" s="51"/>
      <c r="O19" s="52" t="s">
        <v>114</v>
      </c>
      <c r="P19" s="52" t="s">
        <v>123</v>
      </c>
    </row>
    <row r="20" spans="1:16" ht="12.75" customHeight="1" thickBot="1" x14ac:dyDescent="0.25">
      <c r="A20" s="41" t="str">
        <f t="shared" si="0"/>
        <v> BRNO 31 </v>
      </c>
      <c r="B20" s="4" t="str">
        <f t="shared" si="1"/>
        <v>II</v>
      </c>
      <c r="C20" s="41">
        <f t="shared" si="2"/>
        <v>48064.449000000001</v>
      </c>
      <c r="D20" s="18" t="str">
        <f t="shared" si="3"/>
        <v>vis</v>
      </c>
      <c r="E20" s="49">
        <f>VLOOKUP(C20,Active!C$21:E$973,3,FALSE)</f>
        <v>-15031.517320473307</v>
      </c>
      <c r="F20" s="4" t="s">
        <v>85</v>
      </c>
      <c r="G20" s="18" t="str">
        <f t="shared" si="4"/>
        <v>48064.449</v>
      </c>
      <c r="H20" s="41">
        <f t="shared" si="5"/>
        <v>14445.5</v>
      </c>
      <c r="I20" s="50" t="s">
        <v>124</v>
      </c>
      <c r="J20" s="51" t="s">
        <v>125</v>
      </c>
      <c r="K20" s="50">
        <v>14445.5</v>
      </c>
      <c r="L20" s="50" t="s">
        <v>126</v>
      </c>
      <c r="M20" s="51" t="s">
        <v>90</v>
      </c>
      <c r="N20" s="51"/>
      <c r="O20" s="52" t="s">
        <v>119</v>
      </c>
      <c r="P20" s="52" t="s">
        <v>123</v>
      </c>
    </row>
    <row r="21" spans="1:16" ht="12.75" customHeight="1" thickBot="1" x14ac:dyDescent="0.25">
      <c r="A21" s="41" t="str">
        <f t="shared" si="0"/>
        <v> BRNO 31 </v>
      </c>
      <c r="B21" s="4" t="str">
        <f t="shared" si="1"/>
        <v>II</v>
      </c>
      <c r="C21" s="41">
        <f t="shared" si="2"/>
        <v>48127.54</v>
      </c>
      <c r="D21" s="18" t="str">
        <f t="shared" si="3"/>
        <v>vis</v>
      </c>
      <c r="E21" s="49">
        <f>VLOOKUP(C21,Active!C$21:E$973,3,FALSE)</f>
        <v>-14844.497322892226</v>
      </c>
      <c r="F21" s="4" t="s">
        <v>85</v>
      </c>
      <c r="G21" s="18" t="str">
        <f t="shared" si="4"/>
        <v>48127.540</v>
      </c>
      <c r="H21" s="41">
        <f t="shared" si="5"/>
        <v>14632.5</v>
      </c>
      <c r="I21" s="50" t="s">
        <v>127</v>
      </c>
      <c r="J21" s="51" t="s">
        <v>128</v>
      </c>
      <c r="K21" s="50">
        <v>14632.5</v>
      </c>
      <c r="L21" s="50" t="s">
        <v>129</v>
      </c>
      <c r="M21" s="51" t="s">
        <v>90</v>
      </c>
      <c r="N21" s="51"/>
      <c r="O21" s="52" t="s">
        <v>119</v>
      </c>
      <c r="P21" s="52" t="s">
        <v>123</v>
      </c>
    </row>
    <row r="22" spans="1:16" ht="12.75" customHeight="1" thickBot="1" x14ac:dyDescent="0.25">
      <c r="A22" s="41" t="str">
        <f t="shared" si="0"/>
        <v> BRNO 31 </v>
      </c>
      <c r="B22" s="4" t="str">
        <f t="shared" si="1"/>
        <v>I</v>
      </c>
      <c r="C22" s="41">
        <f t="shared" si="2"/>
        <v>48439.421999999999</v>
      </c>
      <c r="D22" s="18" t="str">
        <f t="shared" si="3"/>
        <v>vis</v>
      </c>
      <c r="E22" s="49">
        <f>VLOOKUP(C22,Active!C$21:E$973,3,FALSE)</f>
        <v>-13919.988741865105</v>
      </c>
      <c r="F22" s="4" t="s">
        <v>85</v>
      </c>
      <c r="G22" s="18" t="str">
        <f t="shared" si="4"/>
        <v>48439.422</v>
      </c>
      <c r="H22" s="41">
        <f t="shared" si="5"/>
        <v>15557</v>
      </c>
      <c r="I22" s="50" t="s">
        <v>130</v>
      </c>
      <c r="J22" s="51" t="s">
        <v>131</v>
      </c>
      <c r="K22" s="50">
        <v>15557</v>
      </c>
      <c r="L22" s="50" t="s">
        <v>132</v>
      </c>
      <c r="M22" s="51" t="s">
        <v>90</v>
      </c>
      <c r="N22" s="51"/>
      <c r="O22" s="52" t="s">
        <v>119</v>
      </c>
      <c r="P22" s="52" t="s">
        <v>123</v>
      </c>
    </row>
    <row r="23" spans="1:16" ht="12.75" customHeight="1" thickBot="1" x14ac:dyDescent="0.25">
      <c r="A23" s="41" t="str">
        <f t="shared" si="0"/>
        <v> BRNO 31 </v>
      </c>
      <c r="B23" s="4" t="str">
        <f t="shared" si="1"/>
        <v>I</v>
      </c>
      <c r="C23" s="41">
        <f t="shared" si="2"/>
        <v>48439.427000000003</v>
      </c>
      <c r="D23" s="18" t="str">
        <f t="shared" si="3"/>
        <v>vis</v>
      </c>
      <c r="E23" s="49">
        <f>VLOOKUP(C23,Active!C$21:E$973,3,FALSE)</f>
        <v>-13919.973920416898</v>
      </c>
      <c r="F23" s="4" t="s">
        <v>85</v>
      </c>
      <c r="G23" s="18" t="str">
        <f t="shared" si="4"/>
        <v>48439.427</v>
      </c>
      <c r="H23" s="41">
        <f t="shared" si="5"/>
        <v>15557</v>
      </c>
      <c r="I23" s="50" t="s">
        <v>133</v>
      </c>
      <c r="J23" s="51" t="s">
        <v>134</v>
      </c>
      <c r="K23" s="50">
        <v>15557</v>
      </c>
      <c r="L23" s="50" t="s">
        <v>135</v>
      </c>
      <c r="M23" s="51" t="s">
        <v>90</v>
      </c>
      <c r="N23" s="51"/>
      <c r="O23" s="52" t="s">
        <v>136</v>
      </c>
      <c r="P23" s="52" t="s">
        <v>123</v>
      </c>
    </row>
    <row r="24" spans="1:16" ht="12.75" customHeight="1" thickBot="1" x14ac:dyDescent="0.25">
      <c r="A24" s="41" t="str">
        <f t="shared" si="0"/>
        <v> BRNO 31 </v>
      </c>
      <c r="B24" s="4" t="str">
        <f t="shared" si="1"/>
        <v>I</v>
      </c>
      <c r="C24" s="41">
        <f t="shared" si="2"/>
        <v>48439.430999999997</v>
      </c>
      <c r="D24" s="18" t="str">
        <f t="shared" si="3"/>
        <v>vis</v>
      </c>
      <c r="E24" s="49">
        <f>VLOOKUP(C24,Active!C$21:E$973,3,FALSE)</f>
        <v>-13919.962063258365</v>
      </c>
      <c r="F24" s="4" t="s">
        <v>85</v>
      </c>
      <c r="G24" s="18" t="str">
        <f t="shared" si="4"/>
        <v>48439.431</v>
      </c>
      <c r="H24" s="41">
        <f t="shared" si="5"/>
        <v>15557</v>
      </c>
      <c r="I24" s="50" t="s">
        <v>137</v>
      </c>
      <c r="J24" s="51" t="s">
        <v>138</v>
      </c>
      <c r="K24" s="50">
        <v>15557</v>
      </c>
      <c r="L24" s="50" t="s">
        <v>139</v>
      </c>
      <c r="M24" s="51" t="s">
        <v>90</v>
      </c>
      <c r="N24" s="51"/>
      <c r="O24" s="52" t="s">
        <v>140</v>
      </c>
      <c r="P24" s="52" t="s">
        <v>123</v>
      </c>
    </row>
    <row r="25" spans="1:16" ht="12.75" customHeight="1" thickBot="1" x14ac:dyDescent="0.25">
      <c r="A25" s="41" t="str">
        <f t="shared" si="0"/>
        <v> BRNO 31 </v>
      </c>
      <c r="B25" s="4" t="str">
        <f t="shared" si="1"/>
        <v>I</v>
      </c>
      <c r="C25" s="41">
        <f t="shared" si="2"/>
        <v>48439.438000000002</v>
      </c>
      <c r="D25" s="18" t="str">
        <f t="shared" si="3"/>
        <v>vis</v>
      </c>
      <c r="E25" s="49">
        <f>VLOOKUP(C25,Active!C$21:E$973,3,FALSE)</f>
        <v>-13919.94131323088</v>
      </c>
      <c r="F25" s="4" t="s">
        <v>85</v>
      </c>
      <c r="G25" s="18" t="str">
        <f t="shared" si="4"/>
        <v>48439.438</v>
      </c>
      <c r="H25" s="41">
        <f t="shared" si="5"/>
        <v>15557</v>
      </c>
      <c r="I25" s="50" t="s">
        <v>141</v>
      </c>
      <c r="J25" s="51" t="s">
        <v>142</v>
      </c>
      <c r="K25" s="50">
        <v>15557</v>
      </c>
      <c r="L25" s="50" t="s">
        <v>106</v>
      </c>
      <c r="M25" s="51" t="s">
        <v>90</v>
      </c>
      <c r="N25" s="51"/>
      <c r="O25" s="52" t="s">
        <v>143</v>
      </c>
      <c r="P25" s="52" t="s">
        <v>123</v>
      </c>
    </row>
    <row r="26" spans="1:16" ht="12.75" customHeight="1" thickBot="1" x14ac:dyDescent="0.25">
      <c r="A26" s="41" t="str">
        <f t="shared" si="0"/>
        <v> BRNO 31 </v>
      </c>
      <c r="B26" s="4" t="str">
        <f t="shared" si="1"/>
        <v>I</v>
      </c>
      <c r="C26" s="41">
        <f t="shared" si="2"/>
        <v>48439.442000000003</v>
      </c>
      <c r="D26" s="18" t="str">
        <f t="shared" si="3"/>
        <v>vis</v>
      </c>
      <c r="E26" s="49">
        <f>VLOOKUP(C26,Active!C$21:E$973,3,FALSE)</f>
        <v>-13919.929456072323</v>
      </c>
      <c r="F26" s="4" t="s">
        <v>85</v>
      </c>
      <c r="G26" s="18" t="str">
        <f t="shared" si="4"/>
        <v>48439.442</v>
      </c>
      <c r="H26" s="41">
        <f t="shared" si="5"/>
        <v>15557</v>
      </c>
      <c r="I26" s="50" t="s">
        <v>144</v>
      </c>
      <c r="J26" s="51" t="s">
        <v>145</v>
      </c>
      <c r="K26" s="50">
        <v>15557</v>
      </c>
      <c r="L26" s="50" t="s">
        <v>146</v>
      </c>
      <c r="M26" s="51" t="s">
        <v>90</v>
      </c>
      <c r="N26" s="51"/>
      <c r="O26" s="52" t="s">
        <v>147</v>
      </c>
      <c r="P26" s="52" t="s">
        <v>123</v>
      </c>
    </row>
    <row r="27" spans="1:16" ht="12.75" customHeight="1" thickBot="1" x14ac:dyDescent="0.25">
      <c r="A27" s="41" t="str">
        <f t="shared" si="0"/>
        <v> BRNO 31 </v>
      </c>
      <c r="B27" s="4" t="str">
        <f t="shared" si="1"/>
        <v>II</v>
      </c>
      <c r="C27" s="41">
        <f t="shared" si="2"/>
        <v>48453.425999999999</v>
      </c>
      <c r="D27" s="18" t="str">
        <f t="shared" si="3"/>
        <v>vis</v>
      </c>
      <c r="E27" s="49">
        <f>VLOOKUP(C27,Active!C$21:E$973,3,FALSE)</f>
        <v>-13878.476829767887</v>
      </c>
      <c r="F27" s="4" t="s">
        <v>85</v>
      </c>
      <c r="G27" s="18" t="str">
        <f t="shared" si="4"/>
        <v>48453.426</v>
      </c>
      <c r="H27" s="41">
        <f t="shared" si="5"/>
        <v>15598.5</v>
      </c>
      <c r="I27" s="50" t="s">
        <v>148</v>
      </c>
      <c r="J27" s="51" t="s">
        <v>149</v>
      </c>
      <c r="K27" s="50">
        <v>15598.5</v>
      </c>
      <c r="L27" s="50" t="s">
        <v>150</v>
      </c>
      <c r="M27" s="51" t="s">
        <v>90</v>
      </c>
      <c r="N27" s="51"/>
      <c r="O27" s="52" t="s">
        <v>119</v>
      </c>
      <c r="P27" s="52" t="s">
        <v>123</v>
      </c>
    </row>
    <row r="28" spans="1:16" ht="12.75" customHeight="1" thickBot="1" x14ac:dyDescent="0.25">
      <c r="A28" s="41" t="str">
        <f t="shared" si="0"/>
        <v> BRNO 31 </v>
      </c>
      <c r="B28" s="4" t="str">
        <f t="shared" si="1"/>
        <v>II</v>
      </c>
      <c r="C28" s="41">
        <f t="shared" si="2"/>
        <v>48622.425999999999</v>
      </c>
      <c r="D28" s="18" t="str">
        <f t="shared" si="3"/>
        <v>vis</v>
      </c>
      <c r="E28" s="49">
        <f>VLOOKUP(C28,Active!C$21:E$973,3,FALSE)</f>
        <v>-13377.511880865466</v>
      </c>
      <c r="F28" s="4" t="s">
        <v>85</v>
      </c>
      <c r="G28" s="18" t="str">
        <f t="shared" si="4"/>
        <v>48622.426</v>
      </c>
      <c r="H28" s="41">
        <f t="shared" si="5"/>
        <v>16099.5</v>
      </c>
      <c r="I28" s="50" t="s">
        <v>151</v>
      </c>
      <c r="J28" s="51" t="s">
        <v>152</v>
      </c>
      <c r="K28" s="50">
        <v>16099.5</v>
      </c>
      <c r="L28" s="50" t="s">
        <v>153</v>
      </c>
      <c r="M28" s="51" t="s">
        <v>90</v>
      </c>
      <c r="N28" s="51"/>
      <c r="O28" s="52" t="s">
        <v>119</v>
      </c>
      <c r="P28" s="52" t="s">
        <v>123</v>
      </c>
    </row>
    <row r="29" spans="1:16" ht="12.75" customHeight="1" thickBot="1" x14ac:dyDescent="0.25">
      <c r="A29" s="41" t="str">
        <f t="shared" si="0"/>
        <v> BRNO 31 </v>
      </c>
      <c r="B29" s="4" t="str">
        <f t="shared" si="1"/>
        <v>II</v>
      </c>
      <c r="C29" s="41">
        <f t="shared" si="2"/>
        <v>48983.394</v>
      </c>
      <c r="D29" s="18" t="str">
        <f t="shared" si="3"/>
        <v>vis</v>
      </c>
      <c r="E29" s="49">
        <f>VLOOKUP(C29,Active!C$21:E$973,3,FALSE)</f>
        <v>-12307.498178644111</v>
      </c>
      <c r="F29" s="4" t="s">
        <v>85</v>
      </c>
      <c r="G29" s="18" t="str">
        <f t="shared" si="4"/>
        <v>48983.394</v>
      </c>
      <c r="H29" s="41">
        <f t="shared" si="5"/>
        <v>17169.5</v>
      </c>
      <c r="I29" s="50" t="s">
        <v>154</v>
      </c>
      <c r="J29" s="51" t="s">
        <v>155</v>
      </c>
      <c r="K29" s="50">
        <v>17169.5</v>
      </c>
      <c r="L29" s="50" t="s">
        <v>156</v>
      </c>
      <c r="M29" s="51" t="s">
        <v>90</v>
      </c>
      <c r="N29" s="51"/>
      <c r="O29" s="52" t="s">
        <v>119</v>
      </c>
      <c r="P29" s="52" t="s">
        <v>123</v>
      </c>
    </row>
    <row r="30" spans="1:16" ht="12.75" customHeight="1" thickBot="1" x14ac:dyDescent="0.25">
      <c r="A30" s="41" t="str">
        <f t="shared" si="0"/>
        <v> BRNO 31 </v>
      </c>
      <c r="B30" s="4" t="str">
        <f t="shared" si="1"/>
        <v>II</v>
      </c>
      <c r="C30" s="41">
        <f t="shared" si="2"/>
        <v>49101.46</v>
      </c>
      <c r="D30" s="18" t="str">
        <f t="shared" si="3"/>
        <v>vis</v>
      </c>
      <c r="E30" s="49">
        <f>VLOOKUP(C30,Active!C$21:E$973,3,FALSE)</f>
        <v>-11957.516358187824</v>
      </c>
      <c r="F30" s="4" t="s">
        <v>85</v>
      </c>
      <c r="G30" s="18" t="str">
        <f t="shared" si="4"/>
        <v>49101.460</v>
      </c>
      <c r="H30" s="41">
        <f t="shared" si="5"/>
        <v>17519.5</v>
      </c>
      <c r="I30" s="50" t="s">
        <v>157</v>
      </c>
      <c r="J30" s="51" t="s">
        <v>158</v>
      </c>
      <c r="K30" s="50">
        <v>17519.5</v>
      </c>
      <c r="L30" s="50" t="s">
        <v>159</v>
      </c>
      <c r="M30" s="51" t="s">
        <v>90</v>
      </c>
      <c r="N30" s="51"/>
      <c r="O30" s="52" t="s">
        <v>119</v>
      </c>
      <c r="P30" s="52" t="s">
        <v>123</v>
      </c>
    </row>
    <row r="31" spans="1:16" ht="12.75" customHeight="1" thickBot="1" x14ac:dyDescent="0.25">
      <c r="A31" s="41" t="str">
        <f t="shared" si="0"/>
        <v> BRNO 31 </v>
      </c>
      <c r="B31" s="4" t="str">
        <f t="shared" si="1"/>
        <v>I</v>
      </c>
      <c r="C31" s="41">
        <f t="shared" si="2"/>
        <v>49399.516000000003</v>
      </c>
      <c r="D31" s="18" t="str">
        <f t="shared" si="3"/>
        <v>vis</v>
      </c>
      <c r="E31" s="49">
        <f>VLOOKUP(C31,Active!C$21:E$973,3,FALSE)</f>
        <v>-11073.992045702251</v>
      </c>
      <c r="F31" s="4" t="s">
        <v>85</v>
      </c>
      <c r="G31" s="18" t="str">
        <f t="shared" si="4"/>
        <v>49399.516</v>
      </c>
      <c r="H31" s="41">
        <f t="shared" si="5"/>
        <v>18403</v>
      </c>
      <c r="I31" s="50" t="s">
        <v>160</v>
      </c>
      <c r="J31" s="51" t="s">
        <v>161</v>
      </c>
      <c r="K31" s="50">
        <v>18403</v>
      </c>
      <c r="L31" s="50" t="s">
        <v>162</v>
      </c>
      <c r="M31" s="51" t="s">
        <v>90</v>
      </c>
      <c r="N31" s="51"/>
      <c r="O31" s="52" t="s">
        <v>119</v>
      </c>
      <c r="P31" s="52" t="s">
        <v>123</v>
      </c>
    </row>
    <row r="32" spans="1:16" ht="12.75" customHeight="1" thickBot="1" x14ac:dyDescent="0.25">
      <c r="A32" s="41" t="str">
        <f t="shared" si="0"/>
        <v> BRNO 31 </v>
      </c>
      <c r="B32" s="4" t="str">
        <f t="shared" si="1"/>
        <v>II</v>
      </c>
      <c r="C32" s="41">
        <f t="shared" si="2"/>
        <v>49400.356</v>
      </c>
      <c r="D32" s="18" t="str">
        <f t="shared" si="3"/>
        <v>vis</v>
      </c>
      <c r="E32" s="49">
        <f>VLOOKUP(C32,Active!C$21:E$973,3,FALSE)</f>
        <v>-11071.502042405942</v>
      </c>
      <c r="F32" s="4" t="s">
        <v>85</v>
      </c>
      <c r="G32" s="18" t="str">
        <f t="shared" si="4"/>
        <v>49400.356</v>
      </c>
      <c r="H32" s="41">
        <f t="shared" si="5"/>
        <v>18405.5</v>
      </c>
      <c r="I32" s="50" t="s">
        <v>163</v>
      </c>
      <c r="J32" s="51" t="s">
        <v>164</v>
      </c>
      <c r="K32" s="50">
        <v>18405.5</v>
      </c>
      <c r="L32" s="50" t="s">
        <v>165</v>
      </c>
      <c r="M32" s="51" t="s">
        <v>90</v>
      </c>
      <c r="N32" s="51"/>
      <c r="O32" s="52" t="s">
        <v>119</v>
      </c>
      <c r="P32" s="52" t="s">
        <v>123</v>
      </c>
    </row>
    <row r="33" spans="1:16" ht="12.75" customHeight="1" thickBot="1" x14ac:dyDescent="0.25">
      <c r="A33" s="41" t="str">
        <f t="shared" si="0"/>
        <v> BBS 108 </v>
      </c>
      <c r="B33" s="4" t="str">
        <f t="shared" si="1"/>
        <v>II</v>
      </c>
      <c r="C33" s="41">
        <f t="shared" si="2"/>
        <v>49745.470999999998</v>
      </c>
      <c r="D33" s="18" t="str">
        <f t="shared" si="3"/>
        <v>vis</v>
      </c>
      <c r="E33" s="49">
        <f>VLOOKUP(C33,Active!C$21:E$973,3,FALSE)</f>
        <v>-10048.481223823352</v>
      </c>
      <c r="F33" s="4" t="s">
        <v>85</v>
      </c>
      <c r="G33" s="18" t="str">
        <f t="shared" si="4"/>
        <v>49745.471</v>
      </c>
      <c r="H33" s="41">
        <f t="shared" si="5"/>
        <v>19428.5</v>
      </c>
      <c r="I33" s="50" t="s">
        <v>166</v>
      </c>
      <c r="J33" s="51" t="s">
        <v>167</v>
      </c>
      <c r="K33" s="50">
        <v>19428.5</v>
      </c>
      <c r="L33" s="50" t="s">
        <v>162</v>
      </c>
      <c r="M33" s="51" t="s">
        <v>90</v>
      </c>
      <c r="N33" s="51"/>
      <c r="O33" s="52" t="s">
        <v>119</v>
      </c>
      <c r="P33" s="52" t="s">
        <v>168</v>
      </c>
    </row>
    <row r="34" spans="1:16" ht="12.75" customHeight="1" thickBot="1" x14ac:dyDescent="0.25">
      <c r="A34" s="41" t="str">
        <f t="shared" si="0"/>
        <v> BRNO 32 </v>
      </c>
      <c r="B34" s="4" t="str">
        <f t="shared" si="1"/>
        <v>I</v>
      </c>
      <c r="C34" s="41">
        <f t="shared" si="2"/>
        <v>49749.346899999997</v>
      </c>
      <c r="D34" s="18" t="str">
        <f t="shared" si="3"/>
        <v>vis</v>
      </c>
      <c r="E34" s="49">
        <f>VLOOKUP(C34,Active!C$21:E$973,3,FALSE)</f>
        <v>-10036.991933613586</v>
      </c>
      <c r="F34" s="4" t="s">
        <v>85</v>
      </c>
      <c r="G34" s="18" t="str">
        <f t="shared" si="4"/>
        <v>49749.3469</v>
      </c>
      <c r="H34" s="41">
        <f t="shared" si="5"/>
        <v>19440</v>
      </c>
      <c r="I34" s="50" t="s">
        <v>169</v>
      </c>
      <c r="J34" s="51" t="s">
        <v>170</v>
      </c>
      <c r="K34" s="50">
        <v>19440</v>
      </c>
      <c r="L34" s="50" t="s">
        <v>171</v>
      </c>
      <c r="M34" s="51" t="s">
        <v>90</v>
      </c>
      <c r="N34" s="51"/>
      <c r="O34" s="52" t="s">
        <v>119</v>
      </c>
      <c r="P34" s="52" t="s">
        <v>172</v>
      </c>
    </row>
    <row r="35" spans="1:16" ht="12.75" customHeight="1" thickBot="1" x14ac:dyDescent="0.25">
      <c r="A35" s="41" t="str">
        <f t="shared" si="0"/>
        <v> BBS 108 </v>
      </c>
      <c r="B35" s="4" t="str">
        <f t="shared" si="1"/>
        <v>I</v>
      </c>
      <c r="C35" s="41">
        <f t="shared" si="2"/>
        <v>49761.487999999998</v>
      </c>
      <c r="D35" s="18" t="str">
        <f t="shared" si="3"/>
        <v>vis</v>
      </c>
      <c r="E35" s="49">
        <f>VLOOKUP(C35,Active!C$21:E$973,3,FALSE)</f>
        <v>-10001.002196683885</v>
      </c>
      <c r="F35" s="4" t="s">
        <v>85</v>
      </c>
      <c r="G35" s="18" t="str">
        <f t="shared" si="4"/>
        <v>49761.488</v>
      </c>
      <c r="H35" s="41">
        <f t="shared" si="5"/>
        <v>19476</v>
      </c>
      <c r="I35" s="50" t="s">
        <v>173</v>
      </c>
      <c r="J35" s="51" t="s">
        <v>174</v>
      </c>
      <c r="K35" s="50">
        <v>19476</v>
      </c>
      <c r="L35" s="50" t="s">
        <v>175</v>
      </c>
      <c r="M35" s="51" t="s">
        <v>90</v>
      </c>
      <c r="N35" s="51"/>
      <c r="O35" s="52" t="s">
        <v>119</v>
      </c>
      <c r="P35" s="52" t="s">
        <v>168</v>
      </c>
    </row>
    <row r="36" spans="1:16" ht="12.75" customHeight="1" thickBot="1" x14ac:dyDescent="0.25">
      <c r="A36" s="41" t="str">
        <f t="shared" si="0"/>
        <v> BRNO 32 </v>
      </c>
      <c r="B36" s="4" t="str">
        <f t="shared" si="1"/>
        <v>I</v>
      </c>
      <c r="C36" s="41">
        <f t="shared" si="2"/>
        <v>49779.377899999999</v>
      </c>
      <c r="D36" s="18" t="str">
        <f t="shared" si="3"/>
        <v>vis</v>
      </c>
      <c r="E36" s="49">
        <f>VLOOKUP(C36,Active!C$21:E$973,3,FALSE)</f>
        <v>-9947.9713514805098</v>
      </c>
      <c r="F36" s="4" t="s">
        <v>85</v>
      </c>
      <c r="G36" s="18" t="str">
        <f t="shared" si="4"/>
        <v>49779.3779</v>
      </c>
      <c r="H36" s="41">
        <f t="shared" si="5"/>
        <v>19529</v>
      </c>
      <c r="I36" s="50" t="s">
        <v>176</v>
      </c>
      <c r="J36" s="51" t="s">
        <v>177</v>
      </c>
      <c r="K36" s="50">
        <v>19529</v>
      </c>
      <c r="L36" s="50" t="s">
        <v>178</v>
      </c>
      <c r="M36" s="51" t="s">
        <v>90</v>
      </c>
      <c r="N36" s="51"/>
      <c r="O36" s="52" t="s">
        <v>119</v>
      </c>
      <c r="P36" s="52" t="s">
        <v>172</v>
      </c>
    </row>
    <row r="37" spans="1:16" ht="12.75" customHeight="1" thickBot="1" x14ac:dyDescent="0.25">
      <c r="A37" s="41" t="str">
        <f t="shared" si="0"/>
        <v> BRNO 32 </v>
      </c>
      <c r="B37" s="4" t="str">
        <f t="shared" si="1"/>
        <v>II</v>
      </c>
      <c r="C37" s="41">
        <f t="shared" si="2"/>
        <v>49779.539700000001</v>
      </c>
      <c r="D37" s="18" t="str">
        <f t="shared" si="3"/>
        <v>vis</v>
      </c>
      <c r="E37" s="49">
        <f>VLOOKUP(C37,Active!C$21:E$973,3,FALSE)</f>
        <v>-9947.4917294169991</v>
      </c>
      <c r="F37" s="4" t="s">
        <v>85</v>
      </c>
      <c r="G37" s="18" t="str">
        <f t="shared" si="4"/>
        <v>49779.5397</v>
      </c>
      <c r="H37" s="41">
        <f t="shared" si="5"/>
        <v>19529.5</v>
      </c>
      <c r="I37" s="50" t="s">
        <v>179</v>
      </c>
      <c r="J37" s="51" t="s">
        <v>180</v>
      </c>
      <c r="K37" s="50">
        <v>19529.5</v>
      </c>
      <c r="L37" s="50" t="s">
        <v>181</v>
      </c>
      <c r="M37" s="51" t="s">
        <v>90</v>
      </c>
      <c r="N37" s="51"/>
      <c r="O37" s="52" t="s">
        <v>119</v>
      </c>
      <c r="P37" s="52" t="s">
        <v>172</v>
      </c>
    </row>
    <row r="38" spans="1:16" ht="12.75" customHeight="1" thickBot="1" x14ac:dyDescent="0.25">
      <c r="A38" s="41" t="str">
        <f t="shared" si="0"/>
        <v> BRNO 32 </v>
      </c>
      <c r="B38" s="4" t="str">
        <f t="shared" si="1"/>
        <v>I</v>
      </c>
      <c r="C38" s="41">
        <f t="shared" si="2"/>
        <v>50079.609700000001</v>
      </c>
      <c r="D38" s="18" t="str">
        <f t="shared" si="3"/>
        <v>vis</v>
      </c>
      <c r="E38" s="49">
        <f>VLOOKUP(C38,Active!C$21:E$973,3,FALSE)</f>
        <v>-9057.9973375995487</v>
      </c>
      <c r="F38" s="4" t="s">
        <v>85</v>
      </c>
      <c r="G38" s="18" t="str">
        <f t="shared" si="4"/>
        <v>50079.6097</v>
      </c>
      <c r="H38" s="41">
        <f t="shared" si="5"/>
        <v>20419</v>
      </c>
      <c r="I38" s="50" t="s">
        <v>182</v>
      </c>
      <c r="J38" s="51" t="s">
        <v>183</v>
      </c>
      <c r="K38" s="50">
        <v>20419</v>
      </c>
      <c r="L38" s="50" t="s">
        <v>184</v>
      </c>
      <c r="M38" s="51" t="s">
        <v>90</v>
      </c>
      <c r="N38" s="51"/>
      <c r="O38" s="52" t="s">
        <v>119</v>
      </c>
      <c r="P38" s="52" t="s">
        <v>172</v>
      </c>
    </row>
    <row r="39" spans="1:16" ht="12.75" customHeight="1" thickBot="1" x14ac:dyDescent="0.25">
      <c r="A39" s="41" t="str">
        <f t="shared" si="0"/>
        <v> BRNO 32 </v>
      </c>
      <c r="B39" s="4" t="str">
        <f t="shared" si="1"/>
        <v>II</v>
      </c>
      <c r="C39" s="41">
        <f t="shared" si="2"/>
        <v>50097.324200000003</v>
      </c>
      <c r="D39" s="18" t="str">
        <f t="shared" si="3"/>
        <v>vis</v>
      </c>
      <c r="E39" s="49">
        <f>VLOOKUP(C39,Active!C$21:E$973,3,FALSE)</f>
        <v>-9005.4864287987639</v>
      </c>
      <c r="F39" s="4" t="s">
        <v>85</v>
      </c>
      <c r="G39" s="18" t="str">
        <f t="shared" si="4"/>
        <v>50097.3242</v>
      </c>
      <c r="H39" s="41">
        <f t="shared" si="5"/>
        <v>20471.5</v>
      </c>
      <c r="I39" s="50" t="s">
        <v>185</v>
      </c>
      <c r="J39" s="51" t="s">
        <v>186</v>
      </c>
      <c r="K39" s="50">
        <v>20471.5</v>
      </c>
      <c r="L39" s="50" t="s">
        <v>187</v>
      </c>
      <c r="M39" s="51" t="s">
        <v>90</v>
      </c>
      <c r="N39" s="51"/>
      <c r="O39" s="52" t="s">
        <v>119</v>
      </c>
      <c r="P39" s="52" t="s">
        <v>172</v>
      </c>
    </row>
    <row r="40" spans="1:16" ht="12.75" customHeight="1" thickBot="1" x14ac:dyDescent="0.25">
      <c r="A40" s="41" t="str">
        <f t="shared" si="0"/>
        <v> BRNO 32 </v>
      </c>
      <c r="B40" s="4" t="str">
        <f t="shared" si="1"/>
        <v>I</v>
      </c>
      <c r="C40" s="41">
        <f t="shared" si="2"/>
        <v>50097.489500000003</v>
      </c>
      <c r="D40" s="18" t="str">
        <f t="shared" si="3"/>
        <v>vis</v>
      </c>
      <c r="E40" s="49">
        <f>VLOOKUP(C40,Active!C$21:E$973,3,FALSE)</f>
        <v>-9004.9964317215217</v>
      </c>
      <c r="F40" s="4" t="s">
        <v>85</v>
      </c>
      <c r="G40" s="18" t="str">
        <f t="shared" si="4"/>
        <v>50097.4895</v>
      </c>
      <c r="H40" s="41">
        <f t="shared" si="5"/>
        <v>20472</v>
      </c>
      <c r="I40" s="50" t="s">
        <v>188</v>
      </c>
      <c r="J40" s="51" t="s">
        <v>189</v>
      </c>
      <c r="K40" s="50">
        <v>20472</v>
      </c>
      <c r="L40" s="50" t="s">
        <v>190</v>
      </c>
      <c r="M40" s="51" t="s">
        <v>90</v>
      </c>
      <c r="N40" s="51"/>
      <c r="O40" s="52" t="s">
        <v>119</v>
      </c>
      <c r="P40" s="52" t="s">
        <v>172</v>
      </c>
    </row>
    <row r="41" spans="1:16" ht="12.75" customHeight="1" thickBot="1" x14ac:dyDescent="0.25">
      <c r="A41" s="41" t="str">
        <f t="shared" si="0"/>
        <v> BBS 111 </v>
      </c>
      <c r="B41" s="4" t="str">
        <f t="shared" si="1"/>
        <v>II</v>
      </c>
      <c r="C41" s="41">
        <f t="shared" si="2"/>
        <v>50097.652999999998</v>
      </c>
      <c r="D41" s="18" t="str">
        <f t="shared" si="3"/>
        <v>vis</v>
      </c>
      <c r="E41" s="49">
        <f>VLOOKUP(C41,Active!C$21:E$973,3,FALSE)</f>
        <v>-9004.5117703656451</v>
      </c>
      <c r="F41" s="4" t="s">
        <v>85</v>
      </c>
      <c r="G41" s="18" t="str">
        <f t="shared" si="4"/>
        <v>50097.653</v>
      </c>
      <c r="H41" s="41">
        <f t="shared" si="5"/>
        <v>20472.5</v>
      </c>
      <c r="I41" s="50" t="s">
        <v>191</v>
      </c>
      <c r="J41" s="51" t="s">
        <v>192</v>
      </c>
      <c r="K41" s="50">
        <v>20472.5</v>
      </c>
      <c r="L41" s="50" t="s">
        <v>193</v>
      </c>
      <c r="M41" s="51" t="s">
        <v>90</v>
      </c>
      <c r="N41" s="51"/>
      <c r="O41" s="52" t="s">
        <v>119</v>
      </c>
      <c r="P41" s="52" t="s">
        <v>194</v>
      </c>
    </row>
    <row r="42" spans="1:16" ht="12.75" customHeight="1" thickBot="1" x14ac:dyDescent="0.25">
      <c r="A42" s="41" t="str">
        <f t="shared" si="0"/>
        <v> BBS 114 </v>
      </c>
      <c r="B42" s="4" t="str">
        <f t="shared" si="1"/>
        <v>I</v>
      </c>
      <c r="C42" s="41">
        <f t="shared" si="2"/>
        <v>50520.519</v>
      </c>
      <c r="D42" s="18" t="str">
        <f t="shared" si="3"/>
        <v>vis</v>
      </c>
      <c r="E42" s="49">
        <f>VLOOKUP(C42,Active!C$21:E$973,3,FALSE)</f>
        <v>-7751.0144681019074</v>
      </c>
      <c r="F42" s="4" t="s">
        <v>85</v>
      </c>
      <c r="G42" s="18" t="str">
        <f t="shared" si="4"/>
        <v>50520.519</v>
      </c>
      <c r="H42" s="41">
        <f t="shared" si="5"/>
        <v>21726</v>
      </c>
      <c r="I42" s="50" t="s">
        <v>195</v>
      </c>
      <c r="J42" s="51" t="s">
        <v>196</v>
      </c>
      <c r="K42" s="50">
        <v>21726</v>
      </c>
      <c r="L42" s="50" t="s">
        <v>197</v>
      </c>
      <c r="M42" s="51" t="s">
        <v>90</v>
      </c>
      <c r="N42" s="51"/>
      <c r="O42" s="52" t="s">
        <v>119</v>
      </c>
      <c r="P42" s="52" t="s">
        <v>198</v>
      </c>
    </row>
    <row r="43" spans="1:16" ht="12.75" customHeight="1" thickBot="1" x14ac:dyDescent="0.25">
      <c r="A43" s="41" t="str">
        <f t="shared" si="0"/>
        <v> BBS 127 </v>
      </c>
      <c r="B43" s="4" t="str">
        <f t="shared" si="1"/>
        <v>II</v>
      </c>
      <c r="C43" s="41">
        <f t="shared" si="2"/>
        <v>52303.5818</v>
      </c>
      <c r="D43" s="18" t="str">
        <f t="shared" si="3"/>
        <v>vis</v>
      </c>
      <c r="E43" s="49">
        <f>VLOOKUP(C43,Active!C$21:E$973,3,FALSE)</f>
        <v>-2465.499885310157</v>
      </c>
      <c r="F43" s="4" t="s">
        <v>85</v>
      </c>
      <c r="G43" s="18" t="str">
        <f t="shared" si="4"/>
        <v>52303.5818</v>
      </c>
      <c r="H43" s="41">
        <f t="shared" si="5"/>
        <v>27011.5</v>
      </c>
      <c r="I43" s="50" t="s">
        <v>199</v>
      </c>
      <c r="J43" s="51" t="s">
        <v>200</v>
      </c>
      <c r="K43" s="50">
        <v>27011.5</v>
      </c>
      <c r="L43" s="50" t="s">
        <v>201</v>
      </c>
      <c r="M43" s="51" t="s">
        <v>202</v>
      </c>
      <c r="N43" s="51" t="s">
        <v>203</v>
      </c>
      <c r="O43" s="52" t="s">
        <v>204</v>
      </c>
      <c r="P43" s="52" t="s">
        <v>205</v>
      </c>
    </row>
    <row r="44" spans="1:16" ht="12.75" customHeight="1" thickBot="1" x14ac:dyDescent="0.25">
      <c r="A44" s="41" t="str">
        <f t="shared" si="0"/>
        <v>BAVM 158 </v>
      </c>
      <c r="B44" s="4" t="str">
        <f t="shared" si="1"/>
        <v>II</v>
      </c>
      <c r="C44" s="41">
        <f t="shared" si="2"/>
        <v>52308.642800000001</v>
      </c>
      <c r="D44" s="18" t="str">
        <f t="shared" si="3"/>
        <v>vis</v>
      </c>
      <c r="E44" s="49">
        <f>VLOOKUP(C44,Active!C$21:E$973,3,FALSE)</f>
        <v>-2450.4976154498263</v>
      </c>
      <c r="F44" s="4" t="s">
        <v>85</v>
      </c>
      <c r="G44" s="18" t="str">
        <f t="shared" si="4"/>
        <v>52308.6428</v>
      </c>
      <c r="H44" s="41">
        <f t="shared" si="5"/>
        <v>27026.5</v>
      </c>
      <c r="I44" s="50" t="s">
        <v>206</v>
      </c>
      <c r="J44" s="51" t="s">
        <v>207</v>
      </c>
      <c r="K44" s="50">
        <v>27026.5</v>
      </c>
      <c r="L44" s="50" t="s">
        <v>208</v>
      </c>
      <c r="M44" s="51" t="s">
        <v>202</v>
      </c>
      <c r="N44" s="51" t="s">
        <v>209</v>
      </c>
      <c r="O44" s="52" t="s">
        <v>210</v>
      </c>
      <c r="P44" s="53" t="s">
        <v>211</v>
      </c>
    </row>
    <row r="45" spans="1:16" ht="12.75" customHeight="1" thickBot="1" x14ac:dyDescent="0.25">
      <c r="A45" s="41" t="str">
        <f t="shared" si="0"/>
        <v>BAVM 158 </v>
      </c>
      <c r="B45" s="4" t="str">
        <f t="shared" si="1"/>
        <v>I</v>
      </c>
      <c r="C45" s="41">
        <f t="shared" si="2"/>
        <v>52363.4617</v>
      </c>
      <c r="D45" s="18" t="str">
        <f t="shared" si="3"/>
        <v>vis</v>
      </c>
      <c r="E45" s="49">
        <f>VLOOKUP(C45,Active!C$21:E$973,3,FALSE)</f>
        <v>-2287.9985181871866</v>
      </c>
      <c r="F45" s="4" t="s">
        <v>85</v>
      </c>
      <c r="G45" s="18" t="str">
        <f t="shared" si="4"/>
        <v>52363.4617</v>
      </c>
      <c r="H45" s="41">
        <f t="shared" si="5"/>
        <v>27189</v>
      </c>
      <c r="I45" s="50" t="s">
        <v>212</v>
      </c>
      <c r="J45" s="51" t="s">
        <v>213</v>
      </c>
      <c r="K45" s="50" t="s">
        <v>214</v>
      </c>
      <c r="L45" s="50" t="s">
        <v>215</v>
      </c>
      <c r="M45" s="51" t="s">
        <v>202</v>
      </c>
      <c r="N45" s="51" t="s">
        <v>216</v>
      </c>
      <c r="O45" s="52" t="s">
        <v>217</v>
      </c>
      <c r="P45" s="53" t="s">
        <v>211</v>
      </c>
    </row>
    <row r="46" spans="1:16" ht="12.75" customHeight="1" thickBot="1" x14ac:dyDescent="0.25">
      <c r="A46" s="41" t="str">
        <f t="shared" si="0"/>
        <v>IBVS 5592 </v>
      </c>
      <c r="B46" s="4" t="str">
        <f t="shared" si="1"/>
        <v>I</v>
      </c>
      <c r="C46" s="41">
        <f t="shared" si="2"/>
        <v>53135.315600000002</v>
      </c>
      <c r="D46" s="18" t="str">
        <f t="shared" si="3"/>
        <v>vis</v>
      </c>
      <c r="E46" s="49">
        <f>VLOOKUP(C46,Active!C$21:E$973,3,FALSE)</f>
        <v>0</v>
      </c>
      <c r="F46" s="4" t="s">
        <v>85</v>
      </c>
      <c r="G46" s="18" t="str">
        <f t="shared" si="4"/>
        <v>53135.3156</v>
      </c>
      <c r="H46" s="41">
        <f t="shared" si="5"/>
        <v>29477</v>
      </c>
      <c r="I46" s="50" t="s">
        <v>218</v>
      </c>
      <c r="J46" s="51" t="s">
        <v>219</v>
      </c>
      <c r="K46" s="50" t="s">
        <v>220</v>
      </c>
      <c r="L46" s="50" t="s">
        <v>221</v>
      </c>
      <c r="M46" s="51" t="s">
        <v>202</v>
      </c>
      <c r="N46" s="51" t="s">
        <v>203</v>
      </c>
      <c r="O46" s="52" t="s">
        <v>222</v>
      </c>
      <c r="P46" s="53" t="s">
        <v>223</v>
      </c>
    </row>
    <row r="47" spans="1:16" ht="12.75" customHeight="1" thickBot="1" x14ac:dyDescent="0.25">
      <c r="A47" s="41" t="str">
        <f t="shared" si="0"/>
        <v>BAVM 173 </v>
      </c>
      <c r="B47" s="4" t="str">
        <f t="shared" si="1"/>
        <v>I</v>
      </c>
      <c r="C47" s="41">
        <f t="shared" si="2"/>
        <v>53511.457900000001</v>
      </c>
      <c r="D47" s="18" t="str">
        <f t="shared" si="3"/>
        <v>vis</v>
      </c>
      <c r="E47" s="49">
        <f>VLOOKUP(C47,Active!C$21:E$973,3,FALSE)</f>
        <v>1114.9947224824764</v>
      </c>
      <c r="F47" s="4" t="s">
        <v>85</v>
      </c>
      <c r="G47" s="18" t="str">
        <f t="shared" si="4"/>
        <v>53511.4579</v>
      </c>
      <c r="H47" s="41">
        <f t="shared" si="5"/>
        <v>30592</v>
      </c>
      <c r="I47" s="50" t="s">
        <v>224</v>
      </c>
      <c r="J47" s="51" t="s">
        <v>225</v>
      </c>
      <c r="K47" s="50" t="s">
        <v>226</v>
      </c>
      <c r="L47" s="50" t="s">
        <v>227</v>
      </c>
      <c r="M47" s="51" t="s">
        <v>202</v>
      </c>
      <c r="N47" s="51" t="s">
        <v>209</v>
      </c>
      <c r="O47" s="52" t="s">
        <v>217</v>
      </c>
      <c r="P47" s="53" t="s">
        <v>228</v>
      </c>
    </row>
    <row r="48" spans="1:16" ht="12.75" customHeight="1" thickBot="1" x14ac:dyDescent="0.25">
      <c r="A48" s="41" t="str">
        <f t="shared" si="0"/>
        <v>BAVM 201 </v>
      </c>
      <c r="B48" s="4" t="str">
        <f t="shared" si="1"/>
        <v>I</v>
      </c>
      <c r="C48" s="41">
        <f t="shared" si="2"/>
        <v>54598.398800000003</v>
      </c>
      <c r="D48" s="18" t="str">
        <f t="shared" si="3"/>
        <v>vis</v>
      </c>
      <c r="E48" s="49">
        <f>VLOOKUP(C48,Active!C$21:E$973,3,FALSE)</f>
        <v>4337.002369988104</v>
      </c>
      <c r="F48" s="4" t="s">
        <v>85</v>
      </c>
      <c r="G48" s="18" t="str">
        <f t="shared" si="4"/>
        <v>54598.3988</v>
      </c>
      <c r="H48" s="41">
        <f t="shared" si="5"/>
        <v>33814</v>
      </c>
      <c r="I48" s="50" t="s">
        <v>229</v>
      </c>
      <c r="J48" s="51" t="s">
        <v>230</v>
      </c>
      <c r="K48" s="50" t="s">
        <v>231</v>
      </c>
      <c r="L48" s="50" t="s">
        <v>232</v>
      </c>
      <c r="M48" s="51" t="s">
        <v>233</v>
      </c>
      <c r="N48" s="51" t="s">
        <v>216</v>
      </c>
      <c r="O48" s="52" t="s">
        <v>234</v>
      </c>
      <c r="P48" s="53" t="s">
        <v>235</v>
      </c>
    </row>
    <row r="49" spans="1:16" ht="12.75" customHeight="1" thickBot="1" x14ac:dyDescent="0.25">
      <c r="A49" s="41" t="str">
        <f t="shared" si="0"/>
        <v>BAVM 209 </v>
      </c>
      <c r="B49" s="4" t="str">
        <f t="shared" si="1"/>
        <v>I</v>
      </c>
      <c r="C49" s="41">
        <f t="shared" si="2"/>
        <v>54936.4228</v>
      </c>
      <c r="D49" s="18" t="str">
        <f t="shared" si="3"/>
        <v>vis</v>
      </c>
      <c r="E49" s="49">
        <f>VLOOKUP(C49,Active!C$21:E$973,3,FALSE)</f>
        <v>5339.0034107442607</v>
      </c>
      <c r="F49" s="4" t="s">
        <v>85</v>
      </c>
      <c r="G49" s="18" t="str">
        <f t="shared" si="4"/>
        <v>54936.4228</v>
      </c>
      <c r="H49" s="41">
        <f t="shared" si="5"/>
        <v>34816</v>
      </c>
      <c r="I49" s="50" t="s">
        <v>236</v>
      </c>
      <c r="J49" s="51" t="s">
        <v>237</v>
      </c>
      <c r="K49" s="50" t="s">
        <v>238</v>
      </c>
      <c r="L49" s="50" t="s">
        <v>239</v>
      </c>
      <c r="M49" s="51" t="s">
        <v>233</v>
      </c>
      <c r="N49" s="51" t="s">
        <v>29</v>
      </c>
      <c r="O49" s="52" t="s">
        <v>217</v>
      </c>
      <c r="P49" s="53" t="s">
        <v>240</v>
      </c>
    </row>
    <row r="50" spans="1:16" ht="12.75" customHeight="1" thickBot="1" x14ac:dyDescent="0.25">
      <c r="A50" s="41" t="str">
        <f t="shared" si="0"/>
        <v>BAVM 209 </v>
      </c>
      <c r="B50" s="4" t="str">
        <f t="shared" si="1"/>
        <v>I</v>
      </c>
      <c r="C50" s="41">
        <f t="shared" si="2"/>
        <v>54936.4234</v>
      </c>
      <c r="D50" s="18" t="str">
        <f t="shared" si="3"/>
        <v>vis</v>
      </c>
      <c r="E50" s="49">
        <f>VLOOKUP(C50,Active!C$21:E$973,3,FALSE)</f>
        <v>5339.0051893180425</v>
      </c>
      <c r="F50" s="4" t="s">
        <v>85</v>
      </c>
      <c r="G50" s="18" t="str">
        <f t="shared" si="4"/>
        <v>54936.4234</v>
      </c>
      <c r="H50" s="41">
        <f t="shared" si="5"/>
        <v>34816</v>
      </c>
      <c r="I50" s="50" t="s">
        <v>241</v>
      </c>
      <c r="J50" s="51" t="s">
        <v>242</v>
      </c>
      <c r="K50" s="50" t="s">
        <v>238</v>
      </c>
      <c r="L50" s="50" t="s">
        <v>243</v>
      </c>
      <c r="M50" s="51" t="s">
        <v>233</v>
      </c>
      <c r="N50" s="51" t="s">
        <v>29</v>
      </c>
      <c r="O50" s="52" t="s">
        <v>217</v>
      </c>
      <c r="P50" s="53" t="s">
        <v>240</v>
      </c>
    </row>
    <row r="51" spans="1:16" ht="12.75" customHeight="1" thickBot="1" x14ac:dyDescent="0.25">
      <c r="A51" s="41" t="str">
        <f t="shared" si="0"/>
        <v>BAVM 209 </v>
      </c>
      <c r="B51" s="4" t="str">
        <f t="shared" si="1"/>
        <v>I</v>
      </c>
      <c r="C51" s="41">
        <f t="shared" si="2"/>
        <v>54936.4234</v>
      </c>
      <c r="D51" s="18" t="str">
        <f t="shared" si="3"/>
        <v>vis</v>
      </c>
      <c r="E51" s="49">
        <f>VLOOKUP(C51,Active!C$21:E$973,3,FALSE)</f>
        <v>5339.0051893180425</v>
      </c>
      <c r="F51" s="4" t="s">
        <v>85</v>
      </c>
      <c r="G51" s="18" t="str">
        <f t="shared" si="4"/>
        <v>54936.4234</v>
      </c>
      <c r="H51" s="41">
        <f t="shared" si="5"/>
        <v>34816</v>
      </c>
      <c r="I51" s="50" t="s">
        <v>241</v>
      </c>
      <c r="J51" s="51" t="s">
        <v>242</v>
      </c>
      <c r="K51" s="50" t="s">
        <v>238</v>
      </c>
      <c r="L51" s="50" t="s">
        <v>243</v>
      </c>
      <c r="M51" s="51" t="s">
        <v>233</v>
      </c>
      <c r="N51" s="51" t="s">
        <v>85</v>
      </c>
      <c r="O51" s="52" t="s">
        <v>217</v>
      </c>
      <c r="P51" s="53" t="s">
        <v>240</v>
      </c>
    </row>
    <row r="52" spans="1:16" ht="12.75" customHeight="1" thickBot="1" x14ac:dyDescent="0.25">
      <c r="A52" s="41" t="str">
        <f t="shared" si="0"/>
        <v>IBVS 5992 </v>
      </c>
      <c r="B52" s="4" t="str">
        <f t="shared" si="1"/>
        <v>I</v>
      </c>
      <c r="C52" s="41">
        <f t="shared" si="2"/>
        <v>55647.891100000001</v>
      </c>
      <c r="D52" s="18" t="str">
        <f t="shared" si="3"/>
        <v>vis</v>
      </c>
      <c r="E52" s="49">
        <f>VLOOKUP(C52,Active!C$21:E$973,3,FALSE)</f>
        <v>7448.0015205382952</v>
      </c>
      <c r="F52" s="4" t="s">
        <v>85</v>
      </c>
      <c r="G52" s="18" t="str">
        <f t="shared" si="4"/>
        <v>55647.8911</v>
      </c>
      <c r="H52" s="41">
        <f t="shared" si="5"/>
        <v>36925</v>
      </c>
      <c r="I52" s="50" t="s">
        <v>244</v>
      </c>
      <c r="J52" s="51" t="s">
        <v>245</v>
      </c>
      <c r="K52" s="50" t="s">
        <v>246</v>
      </c>
      <c r="L52" s="50" t="s">
        <v>247</v>
      </c>
      <c r="M52" s="51" t="s">
        <v>233</v>
      </c>
      <c r="N52" s="51" t="s">
        <v>85</v>
      </c>
      <c r="O52" s="52" t="s">
        <v>204</v>
      </c>
      <c r="P52" s="53" t="s">
        <v>248</v>
      </c>
    </row>
    <row r="53" spans="1:16" ht="12.75" customHeight="1" thickBot="1" x14ac:dyDescent="0.25">
      <c r="A53" s="41" t="str">
        <f t="shared" si="0"/>
        <v>IBVS 5992 </v>
      </c>
      <c r="B53" s="4" t="str">
        <f t="shared" si="1"/>
        <v>I</v>
      </c>
      <c r="C53" s="41">
        <f t="shared" si="2"/>
        <v>55695.794399999999</v>
      </c>
      <c r="D53" s="18" t="str">
        <f t="shared" si="3"/>
        <v>vis</v>
      </c>
      <c r="E53" s="49">
        <f>VLOOKUP(C53,Active!C$21:E$973,3,FALSE)</f>
        <v>7590.0007763770909</v>
      </c>
      <c r="F53" s="4" t="s">
        <v>85</v>
      </c>
      <c r="G53" s="18" t="str">
        <f t="shared" si="4"/>
        <v>55695.7944</v>
      </c>
      <c r="H53" s="41">
        <f t="shared" si="5"/>
        <v>37067</v>
      </c>
      <c r="I53" s="50" t="s">
        <v>249</v>
      </c>
      <c r="J53" s="51" t="s">
        <v>250</v>
      </c>
      <c r="K53" s="50" t="s">
        <v>251</v>
      </c>
      <c r="L53" s="50" t="s">
        <v>252</v>
      </c>
      <c r="M53" s="51" t="s">
        <v>233</v>
      </c>
      <c r="N53" s="51" t="s">
        <v>85</v>
      </c>
      <c r="O53" s="52" t="s">
        <v>204</v>
      </c>
      <c r="P53" s="53" t="s">
        <v>248</v>
      </c>
    </row>
    <row r="54" spans="1:16" ht="12.75" customHeight="1" thickBot="1" x14ac:dyDescent="0.25">
      <c r="A54" s="41" t="str">
        <f t="shared" si="0"/>
        <v>IBVS 6029 </v>
      </c>
      <c r="B54" s="4" t="str">
        <f t="shared" si="1"/>
        <v>II</v>
      </c>
      <c r="C54" s="41">
        <f t="shared" si="2"/>
        <v>56023.867200000001</v>
      </c>
      <c r="D54" s="18" t="str">
        <f t="shared" si="3"/>
        <v>vis</v>
      </c>
      <c r="E54" s="49">
        <f>VLOOKUP(C54,Active!C$21:E$973,3,FALSE)</f>
        <v>8562.5035780828584</v>
      </c>
      <c r="F54" s="4" t="s">
        <v>85</v>
      </c>
      <c r="G54" s="18" t="str">
        <f t="shared" si="4"/>
        <v>56023.8672</v>
      </c>
      <c r="H54" s="41">
        <f t="shared" si="5"/>
        <v>38039.5</v>
      </c>
      <c r="I54" s="50" t="s">
        <v>253</v>
      </c>
      <c r="J54" s="51" t="s">
        <v>254</v>
      </c>
      <c r="K54" s="50" t="s">
        <v>255</v>
      </c>
      <c r="L54" s="50" t="s">
        <v>256</v>
      </c>
      <c r="M54" s="51" t="s">
        <v>233</v>
      </c>
      <c r="N54" s="51" t="s">
        <v>85</v>
      </c>
      <c r="O54" s="52" t="s">
        <v>204</v>
      </c>
      <c r="P54" s="53" t="s">
        <v>257</v>
      </c>
    </row>
    <row r="55" spans="1:16" ht="12.75" customHeight="1" thickBot="1" x14ac:dyDescent="0.25">
      <c r="A55" s="41" t="str">
        <f t="shared" si="0"/>
        <v>BAVM 241 (=IBVS 6157) </v>
      </c>
      <c r="B55" s="4" t="str">
        <f t="shared" si="1"/>
        <v>II</v>
      </c>
      <c r="C55" s="41">
        <f t="shared" si="2"/>
        <v>57161.404799999997</v>
      </c>
      <c r="D55" s="18" t="str">
        <f t="shared" si="3"/>
        <v>vis</v>
      </c>
      <c r="E55" s="49">
        <f>VLOOKUP(C55,Active!C$21:E$973,3,FALSE)</f>
        <v>11934.494499139542</v>
      </c>
      <c r="F55" s="4" t="s">
        <v>85</v>
      </c>
      <c r="G55" s="18" t="str">
        <f t="shared" si="4"/>
        <v>57161.4048</v>
      </c>
      <c r="H55" s="41">
        <f t="shared" si="5"/>
        <v>41411.5</v>
      </c>
      <c r="I55" s="50" t="s">
        <v>258</v>
      </c>
      <c r="J55" s="51" t="s">
        <v>259</v>
      </c>
      <c r="K55" s="50" t="s">
        <v>260</v>
      </c>
      <c r="L55" s="50" t="s">
        <v>261</v>
      </c>
      <c r="M55" s="51" t="s">
        <v>233</v>
      </c>
      <c r="N55" s="51" t="s">
        <v>209</v>
      </c>
      <c r="O55" s="52" t="s">
        <v>217</v>
      </c>
      <c r="P55" s="53" t="s">
        <v>262</v>
      </c>
    </row>
    <row r="56" spans="1:16" x14ac:dyDescent="0.2">
      <c r="B56" s="4"/>
      <c r="E56" s="49"/>
      <c r="F56" s="4"/>
    </row>
    <row r="57" spans="1:16" x14ac:dyDescent="0.2">
      <c r="B57" s="4"/>
      <c r="E57" s="49"/>
      <c r="F57" s="4"/>
    </row>
    <row r="58" spans="1:16" x14ac:dyDescent="0.2">
      <c r="B58" s="4"/>
      <c r="E58" s="49"/>
      <c r="F58" s="4"/>
    </row>
    <row r="59" spans="1:16" x14ac:dyDescent="0.2">
      <c r="B59" s="4"/>
      <c r="E59" s="49"/>
      <c r="F59" s="4"/>
    </row>
    <row r="60" spans="1:16" x14ac:dyDescent="0.2">
      <c r="B60" s="4"/>
      <c r="E60" s="49"/>
      <c r="F60" s="4"/>
    </row>
    <row r="61" spans="1:16" x14ac:dyDescent="0.2">
      <c r="B61" s="4"/>
      <c r="E61" s="49"/>
      <c r="F61" s="4"/>
    </row>
    <row r="62" spans="1:16" x14ac:dyDescent="0.2">
      <c r="B62" s="4"/>
      <c r="E62" s="49"/>
      <c r="F62" s="4"/>
    </row>
    <row r="63" spans="1:16" x14ac:dyDescent="0.2">
      <c r="B63" s="4"/>
      <c r="E63" s="49"/>
      <c r="F63" s="4"/>
    </row>
    <row r="64" spans="1:16" x14ac:dyDescent="0.2">
      <c r="B64" s="4"/>
      <c r="E64" s="49"/>
      <c r="F64" s="4"/>
    </row>
    <row r="65" spans="2:6" x14ac:dyDescent="0.2">
      <c r="B65" s="4"/>
      <c r="E65" s="49"/>
      <c r="F65" s="4"/>
    </row>
    <row r="66" spans="2:6" x14ac:dyDescent="0.2">
      <c r="B66" s="4"/>
      <c r="E66" s="49"/>
      <c r="F66" s="4"/>
    </row>
    <row r="67" spans="2:6" x14ac:dyDescent="0.2">
      <c r="B67" s="4"/>
      <c r="E67" s="49"/>
      <c r="F67" s="4"/>
    </row>
    <row r="68" spans="2:6" x14ac:dyDescent="0.2">
      <c r="B68" s="4"/>
      <c r="E68" s="49"/>
      <c r="F68" s="4"/>
    </row>
    <row r="69" spans="2:6" x14ac:dyDescent="0.2">
      <c r="B69" s="4"/>
      <c r="E69" s="49"/>
      <c r="F69" s="4"/>
    </row>
    <row r="70" spans="2:6" x14ac:dyDescent="0.2">
      <c r="B70" s="4"/>
      <c r="E70" s="49"/>
      <c r="F70" s="4"/>
    </row>
    <row r="71" spans="2:6" x14ac:dyDescent="0.2">
      <c r="B71" s="4"/>
      <c r="E71" s="49"/>
      <c r="F71" s="4"/>
    </row>
    <row r="72" spans="2:6" x14ac:dyDescent="0.2">
      <c r="B72" s="4"/>
      <c r="E72" s="49"/>
      <c r="F72" s="4"/>
    </row>
    <row r="73" spans="2:6" x14ac:dyDescent="0.2">
      <c r="B73" s="4"/>
      <c r="E73" s="49"/>
      <c r="F73" s="4"/>
    </row>
    <row r="74" spans="2:6" x14ac:dyDescent="0.2">
      <c r="B74" s="4"/>
      <c r="E74" s="49"/>
      <c r="F74" s="4"/>
    </row>
    <row r="75" spans="2:6" x14ac:dyDescent="0.2">
      <c r="B75" s="4"/>
      <c r="E75" s="49"/>
      <c r="F75" s="4"/>
    </row>
    <row r="76" spans="2:6" x14ac:dyDescent="0.2">
      <c r="B76" s="4"/>
      <c r="E76" s="49"/>
      <c r="F76" s="4"/>
    </row>
    <row r="77" spans="2:6" x14ac:dyDescent="0.2">
      <c r="B77" s="4"/>
      <c r="E77" s="49"/>
      <c r="F77" s="4"/>
    </row>
    <row r="78" spans="2:6" x14ac:dyDescent="0.2">
      <c r="B78" s="4"/>
      <c r="E78" s="49"/>
      <c r="F78" s="4"/>
    </row>
    <row r="79" spans="2:6" x14ac:dyDescent="0.2">
      <c r="B79" s="4"/>
      <c r="E79" s="49"/>
      <c r="F79" s="4"/>
    </row>
    <row r="80" spans="2:6" x14ac:dyDescent="0.2">
      <c r="B80" s="4"/>
      <c r="E80" s="49"/>
      <c r="F80" s="4"/>
    </row>
    <row r="81" spans="2:6" x14ac:dyDescent="0.2">
      <c r="B81" s="4"/>
      <c r="E81" s="49"/>
      <c r="F81" s="4"/>
    </row>
    <row r="82" spans="2:6" x14ac:dyDescent="0.2">
      <c r="B82" s="4"/>
      <c r="E82" s="49"/>
      <c r="F82" s="4"/>
    </row>
    <row r="83" spans="2:6" x14ac:dyDescent="0.2">
      <c r="B83" s="4"/>
      <c r="E83" s="49"/>
      <c r="F83" s="4"/>
    </row>
    <row r="84" spans="2:6" x14ac:dyDescent="0.2">
      <c r="B84" s="4"/>
      <c r="E84" s="49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</sheetData>
  <phoneticPr fontId="0" type="noConversion"/>
  <hyperlinks>
    <hyperlink ref="P44" r:id="rId1" display="http://www.bav-astro.de/sfs/BAVM_link.php?BAVMnr=158" xr:uid="{00000000-0004-0000-0100-000000000000}"/>
    <hyperlink ref="P45" r:id="rId2" display="http://www.bav-astro.de/sfs/BAVM_link.php?BAVMnr=158" xr:uid="{00000000-0004-0000-0100-000001000000}"/>
    <hyperlink ref="P46" r:id="rId3" display="http://www.konkoly.hu/cgi-bin/IBVS?5592" xr:uid="{00000000-0004-0000-0100-000002000000}"/>
    <hyperlink ref="P47" r:id="rId4" display="http://www.bav-astro.de/sfs/BAVM_link.php?BAVMnr=173" xr:uid="{00000000-0004-0000-0100-000003000000}"/>
    <hyperlink ref="P48" r:id="rId5" display="http://www.bav-astro.de/sfs/BAVM_link.php?BAVMnr=201" xr:uid="{00000000-0004-0000-0100-000004000000}"/>
    <hyperlink ref="P49" r:id="rId6" display="http://www.bav-astro.de/sfs/BAVM_link.php?BAVMnr=209" xr:uid="{00000000-0004-0000-0100-000005000000}"/>
    <hyperlink ref="P50" r:id="rId7" display="http://www.bav-astro.de/sfs/BAVM_link.php?BAVMnr=209" xr:uid="{00000000-0004-0000-0100-000006000000}"/>
    <hyperlink ref="P51" r:id="rId8" display="http://www.bav-astro.de/sfs/BAVM_link.php?BAVMnr=209" xr:uid="{00000000-0004-0000-0100-000007000000}"/>
    <hyperlink ref="P52" r:id="rId9" display="http://www.konkoly.hu/cgi-bin/IBVS?5992" xr:uid="{00000000-0004-0000-0100-000008000000}"/>
    <hyperlink ref="P53" r:id="rId10" display="http://www.konkoly.hu/cgi-bin/IBVS?5992" xr:uid="{00000000-0004-0000-0100-000009000000}"/>
    <hyperlink ref="P54" r:id="rId11" display="http://www.konkoly.hu/cgi-bin/IBVS?6029" xr:uid="{00000000-0004-0000-0100-00000A000000}"/>
    <hyperlink ref="P55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2024-01-17T04:31:38Z</dcterms:modified>
</cp:coreProperties>
</file>