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D8731EB-E281-443D-8846-9ED7925C29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1" i="1"/>
  <c r="Q23" i="1"/>
  <c r="A1" i="1"/>
  <c r="C9" i="1"/>
  <c r="D9" i="1"/>
  <c r="F14" i="1"/>
  <c r="F15" i="1" s="1"/>
  <c r="C17" i="1"/>
  <c r="Q22" i="1"/>
  <c r="E24" i="1"/>
  <c r="F24" i="1" s="1"/>
  <c r="G24" i="1" s="1"/>
  <c r="K24" i="1" s="1"/>
  <c r="E22" i="1"/>
  <c r="F22" i="1" s="1"/>
  <c r="G22" i="1" s="1"/>
  <c r="I22" i="1" s="1"/>
  <c r="E21" i="1"/>
  <c r="F21" i="1" s="1"/>
  <c r="G21" i="1" s="1"/>
  <c r="I21" i="1" s="1"/>
  <c r="E23" i="1"/>
  <c r="F23" i="1" s="1"/>
  <c r="G23" i="1" s="1"/>
  <c r="K23" i="1" s="1"/>
  <c r="C12" i="1"/>
  <c r="C11" i="1"/>
  <c r="O22" i="1" l="1"/>
  <c r="O24" i="1"/>
  <c r="C15" i="1"/>
  <c r="O21" i="1"/>
  <c r="O23" i="1"/>
  <c r="C16" i="1"/>
  <c r="D18" i="1" s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<sst xmlns="http://schemas.openxmlformats.org/spreadsheetml/2006/main" count="61" uniqueCount="55">
  <si>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</si>
  <si>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</si>
  <si>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</si>
  <si>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</si>
  <si>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</si>
  <si>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</si>
  <si>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</si>
  <si>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</si>
  <si>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</si>
  <si>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</si>
  <si>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</si>
  <si>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</si>
  <si>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</si>
  <si>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</si>
  <si>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</si>
  <si>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</si>
  <si>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</si>
  <si>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</si>
  <si>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</si>
  <si>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</si>
  <si>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</si>
  <si>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</si>
  <si>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</si>
  <si>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</si>
  <si>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</si>
  <si>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</si>
  <si>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</si>
  <si>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</si>
  <si>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</si>
  <si>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</si>
  <si>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</si>
  <si>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</si>
  <si>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</si>
  <si>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</si>
  <si>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</si>
  <si>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</si>
  <si>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</si>
  <si>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</si>
  <si>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</si>
  <si>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</si>
  <si>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</si>
  <si>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BF Vel</t>
  </si>
  <si>
    <t>G7680-1229</t>
  </si>
  <si>
    <t>EA/SD</t>
  </si>
  <si>
    <t>pr_0</t>
  </si>
  <si>
    <t>A3</t>
  </si>
  <si>
    <t>Kreiner</t>
  </si>
  <si>
    <t>GCVS</t>
  </si>
  <si>
    <t>I</t>
  </si>
  <si>
    <t>OEJV 0179</t>
  </si>
  <si>
    <t>11.40-11.90</t>
  </si>
  <si>
    <t xml:space="preserve">Mag p 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</si>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</sst>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6" fillId="25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26" borderId="16" xfId="0" applyFont="1" applyFill="1" applyBorder="1" applyAlignment="1">
      <alignment horizontal="right" vertical="top"/>
    </xf>
    <xf numFmtId="0" fontId="6" fillId="26" borderId="17" xfId="0" applyFont="1" applyFill="1" applyBorder="1" applyAlignment="1">
      <alignment horizontal="right" vertical="center"/>
    </xf>
    <xf numFmtId="0" fontId="35" fillId="0" borderId="18" xfId="0" applyFont="1" applyBorder="1" applyAlignment="1">
      <alignment horizontal="right" vertical="top"/>
    </xf>
    <xf numFmtId="0" fontId="13" fillId="0" borderId="19" xfId="0" applyFont="1" applyBorder="1" applyAlignment="1">
      <alignment horizontal="right" vertical="center"/>
    </xf>
    <xf numFmtId="0" fontId="36" fillId="0" borderId="19" xfId="0" applyFont="1" applyBorder="1" applyAlignment="1">
      <alignment horizontal="right" vertical="center"/>
    </xf>
    <xf numFmtId="22" fontId="36" fillId="0" borderId="19" xfId="0" applyNumberFormat="1" applyFont="1" applyBorder="1" applyAlignment="1">
      <alignment horizontal="right" vertical="center"/>
    </xf>
    <xf numFmtId="22" fontId="36" fillId="0" borderId="20" xfId="0" applyNumberFormat="1" applyFont="1" applyBorder="1" applyAlignment="1">
      <alignment horizontal="right" vertical="center"/>
    </xf>
    <xf numFmtId="0" fontId="35" fillId="0" borderId="21" xfId="0" applyFont="1" applyBorder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Vel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34441.5</c:v>
                </c:pt>
                <c:pt idx="2">
                  <c:v>40775.5</c:v>
                </c:pt>
                <c:pt idx="3">
                  <c:v>41082.5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4C-409D-8B46-8ACF38C2D5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34441.5</c:v>
                </c:pt>
                <c:pt idx="2">
                  <c:v>40775.5</c:v>
                </c:pt>
                <c:pt idx="3">
                  <c:v>41082.5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-8.7829999996756669E-2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4C-409D-8B46-8ACF38C2D5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34441.5</c:v>
                </c:pt>
                <c:pt idx="2">
                  <c:v>40775.5</c:v>
                </c:pt>
                <c:pt idx="3">
                  <c:v>41082.5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4C-409D-8B46-8ACF38C2D5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34441.5</c:v>
                </c:pt>
                <c:pt idx="2">
                  <c:v>40775.5</c:v>
                </c:pt>
                <c:pt idx="3">
                  <c:v>41082.5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-5.3429999999934807E-2</c:v>
                </c:pt>
                <c:pt idx="3">
                  <c:v>-5.0549999999930151E-2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4C-409D-8B46-8ACF38C2D5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34441.5</c:v>
                </c:pt>
                <c:pt idx="2">
                  <c:v>40775.5</c:v>
                </c:pt>
                <c:pt idx="3">
                  <c:v>41082.5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4C-409D-8B46-8ACF38C2D5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34441.5</c:v>
                </c:pt>
                <c:pt idx="2">
                  <c:v>40775.5</c:v>
                </c:pt>
                <c:pt idx="3">
                  <c:v>41082.5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4C-409D-8B46-8ACF38C2D5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34441.5</c:v>
                </c:pt>
                <c:pt idx="2">
                  <c:v>40775.5</c:v>
                </c:pt>
                <c:pt idx="3">
                  <c:v>41082.5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4C-409D-8B46-8ACF38C2D5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34441.5</c:v>
                </c:pt>
                <c:pt idx="2">
                  <c:v>40775.5</c:v>
                </c:pt>
                <c:pt idx="3">
                  <c:v>41082.5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-5.0789795609793159E-3</c:v>
                </c:pt>
                <c:pt idx="1">
                  <c:v>-5.5866071652396453E-2</c:v>
                </c:pt>
                <c:pt idx="2">
                  <c:v>-6.5206124823920228E-2</c:v>
                </c:pt>
                <c:pt idx="3">
                  <c:v>-6.5658823959325624E-2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4C-409D-8B46-8ACF38C2D5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34441.5</c:v>
                </c:pt>
                <c:pt idx="2">
                  <c:v>40775.5</c:v>
                </c:pt>
                <c:pt idx="3">
                  <c:v>41082.5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4C-409D-8B46-8ACF38C2D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210080"/>
        <c:axId val="1"/>
      </c:scatterChart>
      <c:valAx>
        <c:axId val="525210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210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033CBF-D799-EF5F-5A69-126802E21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tr">
        <f>F1&amp;" / GSC "&amp;RIGHT(I1,9)</f>
        <v>BF Vel / GSC 7680-1229</v>
      </c>
      <c r="F1" s="33" t="s">
        <v>41</v>
      </c>
      <c r="G1" s="27">
        <v>0</v>
      </c>
      <c r="H1" s="28"/>
      <c r="I1" s="34" t="s">
        <v>42</v>
      </c>
      <c r="J1" s="35" t="s">
        <v>41</v>
      </c>
      <c r="K1" s="36">
        <v>8.5626999999999995</v>
      </c>
      <c r="L1" s="30">
        <v>-39.583599999999997</v>
      </c>
      <c r="M1" s="31">
        <v>52500.487000000001</v>
      </c>
      <c r="N1" s="31">
        <v>0.70402770000000003</v>
      </c>
      <c r="O1" s="29" t="s">
        <v>43</v>
      </c>
      <c r="P1" s="30">
        <v>11.4</v>
      </c>
      <c r="Q1" s="30">
        <v>11.9</v>
      </c>
      <c r="R1" s="37" t="s">
        <v>44</v>
      </c>
      <c r="S1" s="38" t="s">
        <v>45</v>
      </c>
    </row>
    <row r="2" spans="1:19" x14ac:dyDescent="0.2">
      <c r="A2" t="s">
        <v>24</v>
      </c>
      <c r="B2" t="s">
        <v>43</v>
      </c>
      <c r="C2" s="26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4">
        <v>28253.07</v>
      </c>
      <c r="D4" s="25">
        <v>0.70401999999999998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  <c r="E6" s="44" t="s">
        <v>46</v>
      </c>
    </row>
    <row r="7" spans="1:19" x14ac:dyDescent="0.2">
      <c r="A7" t="s">
        <v>3</v>
      </c>
      <c r="C7" s="46">
        <v>28253.07</v>
      </c>
      <c r="D7" s="45" t="s">
        <v>54</v>
      </c>
      <c r="E7" s="47">
        <v>52500.487000000001</v>
      </c>
    </row>
    <row r="8" spans="1:19" x14ac:dyDescent="0.2">
      <c r="A8" t="s">
        <v>4</v>
      </c>
      <c r="C8" s="46">
        <v>0.70401999999999998</v>
      </c>
      <c r="D8" s="48" t="s">
        <v>54</v>
      </c>
      <c r="E8" s="49">
        <v>0.70402770000000003</v>
      </c>
    </row>
    <row r="9" spans="1:19" x14ac:dyDescent="0.2">
      <c r="A9" s="22" t="s">
        <v>32</v>
      </c>
      <c r="B9" s="32">
        <v>21</v>
      </c>
      <c r="C9" s="20" t="str">
        <f>"F"&amp;B9</f>
        <v>F21</v>
      </c>
      <c r="D9" s="21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19">
        <f ca="1">INTERCEPT(INDIRECT($D$9):G992,INDIRECT($C$9):F992)</f>
        <v>-5.0789795609793159E-3</v>
      </c>
      <c r="D11" s="3"/>
      <c r="E11" s="10"/>
    </row>
    <row r="12" spans="1:19" x14ac:dyDescent="0.2">
      <c r="A12" s="10" t="s">
        <v>17</v>
      </c>
      <c r="B12" s="10"/>
      <c r="C12" s="19">
        <f ca="1">SLOPE(INDIRECT($D$9):G992,INDIRECT($C$9):F992)</f>
        <v>-1.4745900176071639E-6</v>
      </c>
      <c r="D12" s="3"/>
      <c r="E12" s="50" t="s">
        <v>51</v>
      </c>
      <c r="F12" s="51" t="s">
        <v>50</v>
      </c>
    </row>
    <row r="13" spans="1:19" x14ac:dyDescent="0.2">
      <c r="A13" s="10" t="s">
        <v>19</v>
      </c>
      <c r="B13" s="10"/>
      <c r="C13" s="3" t="s">
        <v>14</v>
      </c>
      <c r="E13" s="52" t="s">
        <v>34</v>
      </c>
      <c r="F13" s="53">
        <v>1</v>
      </c>
    </row>
    <row r="14" spans="1:19" x14ac:dyDescent="0.2">
      <c r="A14" s="10"/>
      <c r="B14" s="10"/>
      <c r="C14" s="10"/>
      <c r="E14" s="52" t="s">
        <v>31</v>
      </c>
      <c r="F14" s="54">
        <f ca="1">NOW()+15018.5+$C$5/24</f>
        <v>60520.790499768518</v>
      </c>
    </row>
    <row r="15" spans="1:19" x14ac:dyDescent="0.2">
      <c r="A15" s="12" t="s">
        <v>18</v>
      </c>
      <c r="B15" s="10"/>
      <c r="C15" s="13">
        <f ca="1">(C7+C11)+(C8+C12)*INT(MAX(F21:F3533))</f>
        <v>57175.553981913334</v>
      </c>
      <c r="E15" s="52" t="s">
        <v>35</v>
      </c>
      <c r="F15" s="54">
        <f ca="1">ROUND(2*(F14-$C$7)/$C$8,0)/2+F13</f>
        <v>45834.5</v>
      </c>
    </row>
    <row r="16" spans="1:19" x14ac:dyDescent="0.2">
      <c r="A16" s="15" t="s">
        <v>5</v>
      </c>
      <c r="B16" s="10"/>
      <c r="C16" s="16">
        <f ca="1">+C8+C12</f>
        <v>0.70401852540998233</v>
      </c>
      <c r="E16" s="52" t="s">
        <v>36</v>
      </c>
      <c r="F16" s="54">
        <f ca="1">ROUND(2*(F14-$C$15)/$C$16,0)/2+F13</f>
        <v>4752.5</v>
      </c>
    </row>
    <row r="17" spans="1:21" ht="13.5" thickBot="1" x14ac:dyDescent="0.25">
      <c r="A17" s="14" t="s">
        <v>28</v>
      </c>
      <c r="B17" s="10"/>
      <c r="C17" s="10">
        <f>COUNT(C21:C2191)</f>
        <v>4</v>
      </c>
      <c r="E17" s="52" t="s">
        <v>52</v>
      </c>
      <c r="F17" s="55">
        <f ca="1">+$C$15+$C$16*$F$16-15018.5-$C$5/24</f>
        <v>45503.29785725761</v>
      </c>
    </row>
    <row r="18" spans="1:21" ht="14.25" thickTop="1" thickBot="1" x14ac:dyDescent="0.25">
      <c r="A18" s="15" t="s">
        <v>6</v>
      </c>
      <c r="B18" s="10"/>
      <c r="C18" s="17">
        <f ca="1">+C15</f>
        <v>57175.553981913334</v>
      </c>
      <c r="D18" s="18">
        <f ca="1">+C16</f>
        <v>0.70401852540998233</v>
      </c>
      <c r="E18" s="57" t="s">
        <v>53</v>
      </c>
      <c r="F18" s="56">
        <f ca="1">+($C$15+$C$16*$F$16)-($C$16/2)-15018.5-$C$5/24</f>
        <v>45502.945847994903</v>
      </c>
    </row>
    <row r="19" spans="1:21" ht="13.5" thickTop="1" x14ac:dyDescent="0.2"/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3" t="s">
        <v>33</v>
      </c>
    </row>
    <row r="21" spans="1:21" x14ac:dyDescent="0.2">
      <c r="A21" t="s">
        <v>47</v>
      </c>
      <c r="C21" s="8">
        <v>28253.07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-5.0789795609793159E-3</v>
      </c>
      <c r="Q21" s="2">
        <f>+C21-15018.5</f>
        <v>13234.57</v>
      </c>
    </row>
    <row r="22" spans="1:21" x14ac:dyDescent="0.2">
      <c r="A22" t="s">
        <v>46</v>
      </c>
      <c r="C22" s="8">
        <v>52500.487000000001</v>
      </c>
      <c r="D22" s="8" t="s">
        <v>14</v>
      </c>
      <c r="E22">
        <f>+(C22-C$7)/C$8</f>
        <v>34441.375245021452</v>
      </c>
      <c r="F22">
        <f>ROUND(2*E22,0)/2</f>
        <v>34441.5</v>
      </c>
      <c r="G22">
        <f>+C22-(C$7+F22*C$8)</f>
        <v>-8.7829999996756669E-2</v>
      </c>
      <c r="I22">
        <f>+G22</f>
        <v>-8.7829999996756669E-2</v>
      </c>
      <c r="O22">
        <f ca="1">+C$11+C$12*$F22</f>
        <v>-5.5866071652396453E-2</v>
      </c>
      <c r="Q22" s="2">
        <f>+C22-15018.5</f>
        <v>37481.987000000001</v>
      </c>
    </row>
    <row r="23" spans="1:21" x14ac:dyDescent="0.2">
      <c r="A23" s="39" t="s">
        <v>49</v>
      </c>
      <c r="B23" s="40" t="s">
        <v>48</v>
      </c>
      <c r="C23" s="41">
        <v>56959.784079999998</v>
      </c>
      <c r="D23" s="41">
        <v>0</v>
      </c>
      <c r="E23">
        <f>+(C23-C$7)/C$8</f>
        <v>40775.424107269675</v>
      </c>
      <c r="F23">
        <f>ROUND(2*E23,0)/2</f>
        <v>40775.5</v>
      </c>
      <c r="G23">
        <f>+C23-(C$7+F23*C$8)</f>
        <v>-5.3429999999934807E-2</v>
      </c>
      <c r="K23">
        <f>+G23</f>
        <v>-5.3429999999934807E-2</v>
      </c>
      <c r="O23">
        <f ca="1">+C$11+C$12*$F23</f>
        <v>-6.5206124823920228E-2</v>
      </c>
      <c r="Q23" s="2">
        <f>+C23-15018.5</f>
        <v>41941.284079999998</v>
      </c>
    </row>
    <row r="24" spans="1:21" x14ac:dyDescent="0.2">
      <c r="A24" s="42" t="s">
        <v>0</v>
      </c>
      <c r="B24" s="43" t="s">
        <v>48</v>
      </c>
      <c r="C24" s="42">
        <v>57175.9211</v>
      </c>
      <c r="D24" s="42">
        <v>2.0000000000000001E-4</v>
      </c>
      <c r="E24">
        <f>+(C24-C$7)/C$8</f>
        <v>41082.428198062553</v>
      </c>
      <c r="F24">
        <f>ROUND(2*E24,0)/2</f>
        <v>41082.5</v>
      </c>
      <c r="G24">
        <f>+C24-(C$7+F24*C$8)</f>
        <v>-5.0549999999930151E-2</v>
      </c>
      <c r="K24">
        <f>+G24</f>
        <v>-5.0549999999930151E-2</v>
      </c>
      <c r="O24">
        <f ca="1">+C$11+C$12*$F24</f>
        <v>-6.5658823959325624E-2</v>
      </c>
      <c r="Q24" s="2">
        <f>+C24-15018.5</f>
        <v>42157.4211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2281" r:id="rId1" display="http://vsolj.cetus-net.org/bulletin.html" xr:uid="{00000000-0004-0000-0000-000000000000}"/>
    <hyperlink ref="H62274" r:id="rId2" display="https://www.aavso.org/ejaavso" xr:uid="{00000000-0004-0000-0000-000001000000}"/>
    <hyperlink ref="I62281" r:id="rId3" display="http://vsolj.cetus-net.org/bulletin.html" xr:uid="{00000000-0004-0000-0000-000002000000}"/>
    <hyperlink ref="AQ55924" r:id="rId4" display="http://cdsbib.u-strasbg.fr/cgi-bin/cdsbib?1990RMxAA..21..381G" xr:uid="{00000000-0004-0000-0000-000003000000}"/>
    <hyperlink ref="H62278" r:id="rId5" display="https://www.aavso.org/ejaavso" xr:uid="{00000000-0004-0000-0000-000004000000}"/>
    <hyperlink ref="AP3288" r:id="rId6" display="http://cdsbib.u-strasbg.fr/cgi-bin/cdsbib?1990RMxAA..21..381G" xr:uid="{00000000-0004-0000-0000-000005000000}"/>
    <hyperlink ref="AP3291" r:id="rId7" display="http://cdsbib.u-strasbg.fr/cgi-bin/cdsbib?1990RMxAA..21..381G" xr:uid="{00000000-0004-0000-0000-000006000000}"/>
    <hyperlink ref="AP3289" r:id="rId8" display="http://cdsbib.u-strasbg.fr/cgi-bin/cdsbib?1990RMxAA..21..381G" xr:uid="{00000000-0004-0000-0000-000007000000}"/>
    <hyperlink ref="AP3273" r:id="rId9" display="http://cdsbib.u-strasbg.fr/cgi-bin/cdsbib?1990RMxAA..21..381G" xr:uid="{00000000-0004-0000-0000-000008000000}"/>
    <hyperlink ref="AQ3502" r:id="rId10" display="http://cdsbib.u-strasbg.fr/cgi-bin/cdsbib?1990RMxAA..21..381G" xr:uid="{00000000-0004-0000-0000-000009000000}"/>
    <hyperlink ref="AQ3506" r:id="rId11" display="http://cdsbib.u-strasbg.fr/cgi-bin/cdsbib?1990RMxAA..21..381G" xr:uid="{00000000-0004-0000-0000-00000A000000}"/>
    <hyperlink ref="AQ63194" r:id="rId12" display="http://cdsbib.u-strasbg.fr/cgi-bin/cdsbib?1990RMxAA..21..381G" xr:uid="{00000000-0004-0000-0000-00000B000000}"/>
    <hyperlink ref="I394" r:id="rId13" display="http://vsolj.cetus-net.org/bulletin.html" xr:uid="{00000000-0004-0000-0000-00000C000000}"/>
    <hyperlink ref="H394" r:id="rId14" display="http://vsolj.cetus-net.org/bulletin.html" xr:uid="{00000000-0004-0000-0000-00000D000000}"/>
    <hyperlink ref="AQ63855" r:id="rId15" display="http://cdsbib.u-strasbg.fr/cgi-bin/cdsbib?1990RMxAA..21..381G" xr:uid="{00000000-0004-0000-0000-00000E000000}"/>
    <hyperlink ref="AQ63854" r:id="rId16" display="http://cdsbib.u-strasbg.fr/cgi-bin/cdsbib?1990RMxAA..21..381G" xr:uid="{00000000-0004-0000-0000-00000F000000}"/>
    <hyperlink ref="AP1564" r:id="rId17" display="http://cdsbib.u-strasbg.fr/cgi-bin/cdsbib?1990RMxAA..21..381G" xr:uid="{00000000-0004-0000-0000-000010000000}"/>
    <hyperlink ref="AP1582" r:id="rId18" display="http://cdsbib.u-strasbg.fr/cgi-bin/cdsbib?1990RMxAA..21..381G" xr:uid="{00000000-0004-0000-0000-000011000000}"/>
    <hyperlink ref="AP1583" r:id="rId19" display="http://cdsbib.u-strasbg.fr/cgi-bin/cdsbib?1990RMxAA..21..381G" xr:uid="{00000000-0004-0000-0000-000012000000}"/>
    <hyperlink ref="AP15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2024-07-29T06:58:19Z</dcterms:modified>
</cp:coreProperties>
</file>