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E13016-ECFA-49E9-B856-798441549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F14" i="1"/>
  <c r="F15" i="1" s="1"/>
  <c r="C17" i="1"/>
  <c r="E21" i="1"/>
  <c r="F21" i="1" s="1"/>
  <c r="G21" i="1" s="1"/>
  <c r="H21" i="1" s="1"/>
  <c r="Q21" i="1"/>
  <c r="E22" i="1"/>
  <c r="F22" i="1" s="1"/>
  <c r="G22" i="1" s="1"/>
  <c r="I22" i="1" s="1"/>
  <c r="Q22" i="1"/>
  <c r="E23" i="1"/>
  <c r="F23" i="1"/>
  <c r="G23" i="1"/>
  <c r="I23" i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/>
  <c r="I27" i="1" s="1"/>
  <c r="Q27" i="1"/>
  <c r="E28" i="1"/>
  <c r="F28" i="1"/>
  <c r="G28" i="1"/>
  <c r="I28" i="1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/>
  <c r="G31" i="1"/>
  <c r="I31" i="1"/>
  <c r="Q31" i="1"/>
  <c r="E32" i="1"/>
  <c r="F32" i="1"/>
  <c r="G32" i="1" s="1"/>
  <c r="I32" i="1" s="1"/>
  <c r="Q32" i="1"/>
  <c r="E33" i="1"/>
  <c r="F33" i="1"/>
  <c r="G33" i="1" s="1"/>
  <c r="I33" i="1" s="1"/>
  <c r="Q33" i="1"/>
  <c r="E34" i="1"/>
  <c r="F34" i="1" s="1"/>
  <c r="G34" i="1" s="1"/>
  <c r="J34" i="1" s="1"/>
  <c r="Q34" i="1"/>
  <c r="E35" i="1"/>
  <c r="F35" i="1"/>
  <c r="G35" i="1"/>
  <c r="J35" i="1" s="1"/>
  <c r="Q35" i="1"/>
  <c r="C12" i="1"/>
  <c r="C16" i="1" l="1"/>
  <c r="D18" i="1" s="1"/>
  <c r="C11" i="1"/>
  <c r="O25" i="1" l="1"/>
  <c r="O26" i="1"/>
  <c r="O31" i="1"/>
  <c r="O22" i="1"/>
  <c r="O27" i="1"/>
  <c r="O21" i="1"/>
  <c r="O30" i="1"/>
  <c r="O34" i="1"/>
  <c r="O32" i="1"/>
  <c r="O29" i="1"/>
  <c r="O35" i="1"/>
  <c r="C15" i="1"/>
  <c r="O28" i="1"/>
  <c r="O24" i="1"/>
  <c r="O33" i="1"/>
  <c r="O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<sst xmlns="http://schemas.openxmlformats.org/spreadsheetml/2006/main" count="93" uniqueCount="55">
  <si>
    <t>BP Vel / GSC 8149-1553</t>
  </si>
  <si>
    <t>BP Vel</t>
  </si>
  <si>
    <t>G8149-1553</t>
  </si>
  <si>
    <t>System Type:</t>
  </si>
  <si>
    <t>EW</t>
  </si>
  <si>
    <t>GCVS 4 Eph.</t>
  </si>
  <si>
    <t>--- Working ----</t>
  </si>
  <si>
    <t>Epoch =</t>
  </si>
  <si>
    <t>Malkov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</si>
  <si>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</si>
  <si>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</si>
  <si>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</si>
  <si>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</si>
  <si>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</si>
  <si>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</si>
  <si>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</si>
  <si>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</si>
  <si>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</si>
  <si>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</si>
  <si>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</si>
  <si>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</si>
  <si>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</si>
  <si>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</si>
  <si>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</si>
  <si>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</si>
  <si>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</si>
  <si>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</si>
  <si>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</si>
  <si>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</si>
  <si>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</si>
  <si>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</si>
  <si>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</si>
  <si>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</si>
  <si>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</si>
  <si>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</si>
  <si>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</si>
  <si>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</t>
  </si>
  <si>
    <t>S4</t>
  </si>
  <si>
    <t>S5</t>
  </si>
  <si>
    <t>S6</t>
  </si>
  <si>
    <t>Misc</t>
  </si>
  <si>
    <t>Lin Fit</t>
  </si>
  <si>
    <t>Q. Fit</t>
  </si>
  <si>
    <t>Date</t>
  </si>
  <si>
    <t>BAD</t>
  </si>
  <si>
    <t>GCVS 4</t>
  </si>
  <si>
    <t>IBVS 3185</t>
  </si>
  <si>
    <t>II</t>
  </si>
  <si>
    <t>PE</t>
  </si>
  <si>
    <t>I</t>
  </si>
  <si>
    <t>OEJV 0211</t>
  </si>
  <si>
    <t>CCD</t>
  </si>
  <si>
    <t xml:space="preserve">Mag </t>
  </si>
  <si>
    <t>VSX</t>
  </si>
  <si>
    <t>12.90-13.80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</si>
</sst>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&quot;($&quot;#,##0\)"/>
    <numFmt numFmtId="166" formatCode="d/mm/yyyy;@"/>
  </numFmts>
  <fonts count="13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4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3" xfId="0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2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5" fillId="0" borderId="7" xfId="0" applyFont="1" applyBorder="1">
      <alignment vertical="top"/>
    </xf>
    <xf numFmtId="0" fontId="12" fillId="0" borderId="7" xfId="0" applyFont="1" applyBorder="1">
      <alignment vertical="top"/>
    </xf>
    <xf numFmtId="0" fontId="12" fillId="0" borderId="7" xfId="0" applyFont="1" applyBorder="1" applyAlignment="1"/>
    <xf numFmtId="22" fontId="12" fillId="0" borderId="8" xfId="0" applyNumberFormat="1" applyFont="1" applyBorder="1" applyAlignment="1"/>
    <xf numFmtId="0" fontId="11" fillId="0" borderId="9" xfId="0" applyFont="1" applyBorder="1" applyAlignment="1">
      <alignment horizontal="right" vertical="center"/>
    </xf>
    <xf numFmtId="22" fontId="12" fillId="0" borderId="7" xfId="0" applyNumberFormat="1" applyFont="1" applyBorder="1">
      <alignment vertical="top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Vel - O-C Diagr.</a:t>
            </a:r>
          </a:p>
        </c:rich>
      </c:tx>
      <c:layout>
        <c:manualLayout>
          <c:xMode val="edge"/>
          <c:yMode val="edge"/>
          <c:x val="0.3907878305702128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5979745608721985"/>
          <c:w val="0.8127791929641015"/>
          <c:h val="0.6239886937209772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Active!$H$21:$H$350</c:f>
              <c:numCache>
                <c:formatCode>General</c:formatCode>
                <c:ptCount val="3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4A-40D7-8E1A-E9E114CA83B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Active!$I$21:$I$350</c:f>
              <c:numCache>
                <c:formatCode>General</c:formatCode>
                <c:ptCount val="330"/>
                <c:pt idx="1">
                  <c:v>-6.3142970000626519E-2</c:v>
                </c:pt>
                <c:pt idx="2">
                  <c:v>-6.2642970005981624E-2</c:v>
                </c:pt>
                <c:pt idx="3">
                  <c:v>-6.1137744996813126E-2</c:v>
                </c:pt>
                <c:pt idx="4">
                  <c:v>-6.0637744994892273E-2</c:v>
                </c:pt>
                <c:pt idx="5">
                  <c:v>-6.2130730002536438E-2</c:v>
                </c:pt>
                <c:pt idx="6">
                  <c:v>-6.1630730007891543E-2</c:v>
                </c:pt>
                <c:pt idx="7">
                  <c:v>-6.1181625002063811E-2</c:v>
                </c:pt>
                <c:pt idx="8">
                  <c:v>-6.1181625002063811E-2</c:v>
                </c:pt>
                <c:pt idx="9">
                  <c:v>-6.1632520002603997E-2</c:v>
                </c:pt>
                <c:pt idx="10">
                  <c:v>-6.0532520001288503E-2</c:v>
                </c:pt>
                <c:pt idx="11">
                  <c:v>-6.1325505004788283E-2</c:v>
                </c:pt>
                <c:pt idx="12">
                  <c:v>-6.0925505000341218E-2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4A-40D7-8E1A-E9E114CA83B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Active!$J$21:$J$350</c:f>
              <c:numCache>
                <c:formatCode>General</c:formatCode>
                <c:ptCount val="330"/>
                <c:pt idx="13">
                  <c:v>-8.201034928788431E-3</c:v>
                </c:pt>
                <c:pt idx="14">
                  <c:v>-9.3125051789684221E-3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4A-40D7-8E1A-E9E114CA83B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Active!$K$21:$K$350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4A-40D7-8E1A-E9E114CA83B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Active!$L$21:$L$350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4A-40D7-8E1A-E9E114CA83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Active!$M$21:$M$350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4A-40D7-8E1A-E9E114CA83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Active!$N$21:$N$350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4A-40D7-8E1A-E9E114CA83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Active!$O$21:$O$350</c:f>
              <c:numCache>
                <c:formatCode>General</c:formatCode>
                <c:ptCount val="330"/>
                <c:pt idx="0">
                  <c:v>-4.6072529016109275E-2</c:v>
                </c:pt>
                <c:pt idx="1">
                  <c:v>-5.0359401019086779E-2</c:v>
                </c:pt>
                <c:pt idx="2">
                  <c:v>-5.0359401019086779E-2</c:v>
                </c:pt>
                <c:pt idx="3">
                  <c:v>-5.0359812685262913E-2</c:v>
                </c:pt>
                <c:pt idx="4">
                  <c:v>-5.0359812685262913E-2</c:v>
                </c:pt>
                <c:pt idx="5">
                  <c:v>-5.0359840129674656E-2</c:v>
                </c:pt>
                <c:pt idx="6">
                  <c:v>-5.0359840129674656E-2</c:v>
                </c:pt>
                <c:pt idx="7">
                  <c:v>-5.0360032240556851E-2</c:v>
                </c:pt>
                <c:pt idx="8">
                  <c:v>-5.0360032240556851E-2</c:v>
                </c:pt>
                <c:pt idx="9">
                  <c:v>-5.0360224351439047E-2</c:v>
                </c:pt>
                <c:pt idx="10">
                  <c:v>-5.0360224351439047E-2</c:v>
                </c:pt>
                <c:pt idx="11">
                  <c:v>-5.036025179585079E-2</c:v>
                </c:pt>
                <c:pt idx="12">
                  <c:v>-5.036025179585079E-2</c:v>
                </c:pt>
                <c:pt idx="13">
                  <c:v>-5.2607894228725215E-2</c:v>
                </c:pt>
                <c:pt idx="14">
                  <c:v>-5.2616182441071406E-2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4A-40D7-8E1A-E9E114CA83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Active!$R$21:$R$350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4A-40D7-8E1A-E9E114CA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4096"/>
        <c:axId val="1"/>
      </c:scatterChart>
      <c:valAx>
        <c:axId val="39599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4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84859582002471"/>
          <c:y val="0.91591875339906836"/>
          <c:w val="0.7369989821108915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Vel - O-C Diagr.</a:t>
            </a:r>
          </a:p>
        </c:rich>
      </c:tx>
      <c:layout>
        <c:manualLayout>
          <c:xMode val="edge"/>
          <c:yMode val="edge"/>
          <c:x val="0.3888895194407004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5768494507048891"/>
          <c:w val="0.81531651082211731"/>
          <c:h val="0.6267471356499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Active!$H$21:$H$350</c:f>
              <c:numCache>
                <c:formatCode>General</c:formatCode>
                <c:ptCount val="3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D-4E10-B1C1-92AF719A632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Active!$I$21:$I$350</c:f>
              <c:numCache>
                <c:formatCode>General</c:formatCode>
                <c:ptCount val="330"/>
                <c:pt idx="1">
                  <c:v>-6.3142970000626519E-2</c:v>
                </c:pt>
                <c:pt idx="2">
                  <c:v>-6.2642970005981624E-2</c:v>
                </c:pt>
                <c:pt idx="3">
                  <c:v>-6.1137744996813126E-2</c:v>
                </c:pt>
                <c:pt idx="4">
                  <c:v>-6.0637744994892273E-2</c:v>
                </c:pt>
                <c:pt idx="5">
                  <c:v>-6.2130730002536438E-2</c:v>
                </c:pt>
                <c:pt idx="6">
                  <c:v>-6.1630730007891543E-2</c:v>
                </c:pt>
                <c:pt idx="7">
                  <c:v>-6.1181625002063811E-2</c:v>
                </c:pt>
                <c:pt idx="8">
                  <c:v>-6.1181625002063811E-2</c:v>
                </c:pt>
                <c:pt idx="9">
                  <c:v>-6.1632520002603997E-2</c:v>
                </c:pt>
                <c:pt idx="10">
                  <c:v>-6.0532520001288503E-2</c:v>
                </c:pt>
                <c:pt idx="11">
                  <c:v>-6.1325505004788283E-2</c:v>
                </c:pt>
                <c:pt idx="12">
                  <c:v>-6.0925505000341218E-2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D-4E10-B1C1-92AF719A632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Active!$J$21:$J$350</c:f>
              <c:numCache>
                <c:formatCode>General</c:formatCode>
                <c:ptCount val="330"/>
                <c:pt idx="13">
                  <c:v>-8.201034928788431E-3</c:v>
                </c:pt>
                <c:pt idx="14">
                  <c:v>-9.3125051789684221E-3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D-4E10-B1C1-92AF719A632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Active!$K$21:$K$350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4D-4E10-B1C1-92AF719A632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Active!$L$21:$L$350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4D-4E10-B1C1-92AF719A63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Active!$M$21:$M$350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4D-4E10-B1C1-92AF719A63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Active!$N$21:$N$350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4D-4E10-B1C1-92AF719A63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Active!$O$21:$O$350</c:f>
              <c:numCache>
                <c:formatCode>General</c:formatCode>
                <c:ptCount val="330"/>
                <c:pt idx="0">
                  <c:v>-4.6072529016109275E-2</c:v>
                </c:pt>
                <c:pt idx="1">
                  <c:v>-5.0359401019086779E-2</c:v>
                </c:pt>
                <c:pt idx="2">
                  <c:v>-5.0359401019086779E-2</c:v>
                </c:pt>
                <c:pt idx="3">
                  <c:v>-5.0359812685262913E-2</c:v>
                </c:pt>
                <c:pt idx="4">
                  <c:v>-5.0359812685262913E-2</c:v>
                </c:pt>
                <c:pt idx="5">
                  <c:v>-5.0359840129674656E-2</c:v>
                </c:pt>
                <c:pt idx="6">
                  <c:v>-5.0359840129674656E-2</c:v>
                </c:pt>
                <c:pt idx="7">
                  <c:v>-5.0360032240556851E-2</c:v>
                </c:pt>
                <c:pt idx="8">
                  <c:v>-5.0360032240556851E-2</c:v>
                </c:pt>
                <c:pt idx="9">
                  <c:v>-5.0360224351439047E-2</c:v>
                </c:pt>
                <c:pt idx="10">
                  <c:v>-5.0360224351439047E-2</c:v>
                </c:pt>
                <c:pt idx="11">
                  <c:v>-5.036025179585079E-2</c:v>
                </c:pt>
                <c:pt idx="12">
                  <c:v>-5.036025179585079E-2</c:v>
                </c:pt>
                <c:pt idx="13">
                  <c:v>-5.2607894228725215E-2</c:v>
                </c:pt>
                <c:pt idx="14">
                  <c:v>-5.2616182441071406E-2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4D-4E10-B1C1-92AF719A632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Active!$F$21:$F$350</c:f>
              <c:numCache>
                <c:formatCode>General</c:formatCode>
                <c:ptCount val="330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Active!$R$21:$R$350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4D-4E10-B1C1-92AF719A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580032"/>
        <c:axId val="1"/>
      </c:scatterChart>
      <c:valAx>
        <c:axId val="692580032"/>
        <c:scaling>
          <c:orientation val="minMax"/>
          <c:max val="78200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31138353214830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580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66998494557547"/>
          <c:y val="0.91317491002247464"/>
          <c:w val="0.74474584821041512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247650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A15E86-B12A-9F07-D140-DB9BEABFE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57150</xdr:rowOff>
    </xdr:from>
    <xdr:to>
      <xdr:col>27</xdr:col>
      <xdr:colOff>28575</xdr:colOff>
      <xdr:row>19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31F481-199A-D05C-B773-46FE18FEE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  <c r="E1" s="3" t="s">
        <v>1</v>
      </c>
      <c r="F1" s="1" t="s">
        <v>2</v>
      </c>
    </row>
    <row r="2" spans="1:7" x14ac:dyDescent="0.2">
      <c r="A2" s="1" t="s">
        <v>3</v>
      </c>
      <c r="B2" s="1" t="s">
        <v>4</v>
      </c>
      <c r="C2" s="4"/>
      <c r="D2" s="4"/>
      <c r="E2" s="1">
        <v>0</v>
      </c>
    </row>
    <row r="4" spans="1:7" x14ac:dyDescent="0.2">
      <c r="A4" s="5" t="s">
        <v>5</v>
      </c>
      <c r="C4" s="6">
        <v>26534.985400000001</v>
      </c>
      <c r="D4" s="7">
        <v>0.26498597000000002</v>
      </c>
    </row>
    <row r="6" spans="1:7" x14ac:dyDescent="0.2">
      <c r="A6" s="5" t="s">
        <v>6</v>
      </c>
    </row>
    <row r="7" spans="1:7" x14ac:dyDescent="0.2">
      <c r="A7" s="1" t="s">
        <v>7</v>
      </c>
      <c r="C7" s="30">
        <v>26534.985400000001</v>
      </c>
      <c r="D7" s="9" t="s">
        <v>53</v>
      </c>
      <c r="E7" s="31" t="s">
        <v>8</v>
      </c>
    </row>
    <row r="8" spans="1:7" x14ac:dyDescent="0.2">
      <c r="A8" s="1" t="s">
        <v>9</v>
      </c>
      <c r="C8" s="30">
        <v>0.26498597000000002</v>
      </c>
      <c r="D8" s="9" t="s">
        <v>53</v>
      </c>
      <c r="E8" s="31">
        <v>0.26498597000000002</v>
      </c>
    </row>
    <row r="9" spans="1:7" x14ac:dyDescent="0.2">
      <c r="A9" s="10" t="s">
        <v>10</v>
      </c>
      <c r="B9"/>
      <c r="C9" s="11">
        <v>-9.5</v>
      </c>
      <c r="D9" t="s">
        <v>11</v>
      </c>
      <c r="E9"/>
    </row>
    <row r="10" spans="1:7" x14ac:dyDescent="0.2">
      <c r="A10"/>
      <c r="B10"/>
      <c r="C10" s="12" t="s">
        <v>12</v>
      </c>
      <c r="D10" s="12" t="s">
        <v>13</v>
      </c>
      <c r="E10"/>
    </row>
    <row r="11" spans="1:7" x14ac:dyDescent="0.2">
      <c r="A11" t="s">
        <v>14</v>
      </c>
      <c r="B11"/>
      <c r="C11" s="13">
        <f ca="1">INTERCEPT(INDIRECT($G$11):G992,INDIRECT($F$11):F992)</f>
        <v>-4.6072529016109275E-2</v>
      </c>
      <c r="D11" s="4"/>
      <c r="E11"/>
      <c r="F11" s="14" t="str">
        <f>"F"&amp;E19</f>
        <v>F21</v>
      </c>
      <c r="G11" s="15" t="str">
        <f>"G"&amp;E19</f>
        <v>G21</v>
      </c>
    </row>
    <row r="12" spans="1:7" x14ac:dyDescent="0.2">
      <c r="A12" t="s">
        <v>15</v>
      </c>
      <c r="B12"/>
      <c r="C12" s="13">
        <f ca="1">SLOPE(INDIRECT($G$11):G992,INDIRECT($F$11):F992)</f>
        <v>-5.4888823484686516E-8</v>
      </c>
      <c r="D12" s="4"/>
      <c r="E12" s="32" t="s">
        <v>52</v>
      </c>
      <c r="F12" s="33" t="s">
        <v>54</v>
      </c>
    </row>
    <row r="13" spans="1:7" x14ac:dyDescent="0.2">
      <c r="A13" t="s">
        <v>16</v>
      </c>
      <c r="B13"/>
      <c r="C13" s="4" t="s">
        <v>17</v>
      </c>
      <c r="E13" s="34" t="s">
        <v>18</v>
      </c>
      <c r="F13" s="35">
        <v>1</v>
      </c>
    </row>
    <row r="14" spans="1:7" x14ac:dyDescent="0.2">
      <c r="A14"/>
      <c r="B14"/>
      <c r="C14"/>
      <c r="E14" s="34" t="s">
        <v>19</v>
      </c>
      <c r="F14" s="36">
        <f ca="1">NOW()+15018.5+$C$9/24</f>
        <v>60520.791468518517</v>
      </c>
    </row>
    <row r="15" spans="1:7" x14ac:dyDescent="0.2">
      <c r="A15" s="17" t="s">
        <v>20</v>
      </c>
      <c r="B15"/>
      <c r="C15" s="18">
        <f ca="1">(C7+C11)+(C8+C12)*INT(MAX(F21:F3533))</f>
        <v>58125.500183365002</v>
      </c>
      <c r="E15" s="34" t="s">
        <v>21</v>
      </c>
      <c r="F15" s="36">
        <f ca="1">ROUND(2*(F14-$C$7)/$C$8,0)/2+F13</f>
        <v>128256</v>
      </c>
    </row>
    <row r="16" spans="1:7" x14ac:dyDescent="0.2">
      <c r="A16" s="17" t="s">
        <v>22</v>
      </c>
      <c r="B16"/>
      <c r="C16" s="18">
        <f ca="1">+C8+C12</f>
        <v>0.26498591511117653</v>
      </c>
      <c r="E16" s="34" t="s">
        <v>23</v>
      </c>
      <c r="F16" s="37">
        <f ca="1">ROUND(2*(F14-$C$15)/$C$16,0)/2+F13</f>
        <v>9040.5</v>
      </c>
    </row>
    <row r="17" spans="1:18" x14ac:dyDescent="0.2">
      <c r="A17" s="16" t="s">
        <v>24</v>
      </c>
      <c r="B17"/>
      <c r="C17">
        <f>COUNT(C21:C2191)</f>
        <v>15</v>
      </c>
      <c r="E17" s="34" t="s">
        <v>25</v>
      </c>
      <c r="F17" s="40">
        <f ca="1">+$C$15+$C$16*$F$16-15018.5-$C$9/24</f>
        <v>45503.00118226093</v>
      </c>
    </row>
    <row r="18" spans="1:18" x14ac:dyDescent="0.2">
      <c r="A18" s="17" t="s">
        <v>26</v>
      </c>
      <c r="B18"/>
      <c r="C18" s="19">
        <f ca="1">+C15</f>
        <v>58125.500183365002</v>
      </c>
      <c r="D18" s="20">
        <f ca="1">+C16</f>
        <v>0.26498591511117653</v>
      </c>
      <c r="E18" s="39" t="s">
        <v>27</v>
      </c>
      <c r="F18" s="38">
        <f ca="1">+($C$15+$C$16*$F$16)-($C$16/2)-15018.5-$C$9/24</f>
        <v>45502.868689303374</v>
      </c>
    </row>
    <row r="19" spans="1:18" x14ac:dyDescent="0.2">
      <c r="A19" s="16" t="s">
        <v>28</v>
      </c>
      <c r="E19" s="21">
        <v>21</v>
      </c>
    </row>
    <row r="20" spans="1:18" x14ac:dyDescent="0.2">
      <c r="A20" s="12" t="s">
        <v>29</v>
      </c>
      <c r="B20" s="12" t="s">
        <v>30</v>
      </c>
      <c r="C20" s="12" t="s">
        <v>31</v>
      </c>
      <c r="D20" s="12" t="s">
        <v>32</v>
      </c>
      <c r="E20" s="12" t="s">
        <v>33</v>
      </c>
      <c r="F20" s="12" t="s">
        <v>34</v>
      </c>
      <c r="G20" s="12" t="s">
        <v>35</v>
      </c>
      <c r="H20" s="22" t="s">
        <v>36</v>
      </c>
      <c r="I20" s="22" t="s">
        <v>48</v>
      </c>
      <c r="J20" s="22" t="s">
        <v>51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2" t="s">
        <v>43</v>
      </c>
      <c r="R20" s="23" t="s">
        <v>44</v>
      </c>
    </row>
    <row r="21" spans="1:18" x14ac:dyDescent="0.2">
      <c r="A21" s="9" t="s">
        <v>45</v>
      </c>
      <c r="C21" s="8">
        <v>26534.985400000001</v>
      </c>
      <c r="D21" s="8" t="s">
        <v>17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-4.6072529016109275E-2</v>
      </c>
      <c r="Q21" s="29">
        <f>+C21-15018.5</f>
        <v>11516.485400000001</v>
      </c>
    </row>
    <row r="22" spans="1:18" x14ac:dyDescent="0.2">
      <c r="A22" s="24" t="s">
        <v>46</v>
      </c>
      <c r="B22" s="25" t="s">
        <v>47</v>
      </c>
      <c r="C22" s="24">
        <v>47230.591500000002</v>
      </c>
      <c r="D22" s="24" t="s">
        <v>48</v>
      </c>
      <c r="E22" s="1">
        <f t="shared" ref="E22:E33" si="0">+(C22-C$7)/C$8</f>
        <v>78100.761712025735</v>
      </c>
      <c r="F22" s="1">
        <f t="shared" ref="F22:F33" si="1">ROUND(2*E22,0)/2</f>
        <v>78101</v>
      </c>
      <c r="G22" s="1">
        <f t="shared" ref="G22:G33" si="2">+C22-(C$7+F22*C$8)</f>
        <v>-6.3142970000626519E-2</v>
      </c>
      <c r="I22" s="1">
        <f t="shared" ref="I22:I33" si="3">+G22</f>
        <v>-6.3142970000626519E-2</v>
      </c>
      <c r="O22" s="1">
        <f t="shared" ref="O22:O33" ca="1" si="4">+C$11+C$12*$F22</f>
        <v>-5.0359401019086779E-2</v>
      </c>
      <c r="Q22" s="29">
        <f t="shared" ref="Q22:Q33" si="5">+C22-15018.5</f>
        <v>32212.091500000002</v>
      </c>
    </row>
    <row r="23" spans="1:18" x14ac:dyDescent="0.2">
      <c r="A23" s="24" t="s">
        <v>46</v>
      </c>
      <c r="B23" s="25" t="s">
        <v>47</v>
      </c>
      <c r="C23" s="24">
        <v>47230.591999999997</v>
      </c>
      <c r="D23" s="24" t="s">
        <v>48</v>
      </c>
      <c r="E23" s="1">
        <f t="shared" si="0"/>
        <v>78100.763598918071</v>
      </c>
      <c r="F23" s="1">
        <f t="shared" si="1"/>
        <v>78101</v>
      </c>
      <c r="G23" s="1">
        <f t="shared" si="2"/>
        <v>-6.2642970005981624E-2</v>
      </c>
      <c r="I23" s="1">
        <f t="shared" si="3"/>
        <v>-6.2642970005981624E-2</v>
      </c>
      <c r="O23" s="1">
        <f t="shared" ca="1" si="4"/>
        <v>-5.0359401019086779E-2</v>
      </c>
      <c r="Q23" s="29">
        <f t="shared" si="5"/>
        <v>32212.091999999997</v>
      </c>
    </row>
    <row r="24" spans="1:18" x14ac:dyDescent="0.2">
      <c r="A24" s="24" t="s">
        <v>46</v>
      </c>
      <c r="B24" s="25" t="s">
        <v>49</v>
      </c>
      <c r="C24" s="24">
        <v>47232.580900000001</v>
      </c>
      <c r="D24" s="24" t="s">
        <v>48</v>
      </c>
      <c r="E24" s="1">
        <f t="shared" si="0"/>
        <v>78108.269279313157</v>
      </c>
      <c r="F24" s="1">
        <f t="shared" si="1"/>
        <v>78108.5</v>
      </c>
      <c r="G24" s="1">
        <f t="shared" si="2"/>
        <v>-6.1137744996813126E-2</v>
      </c>
      <c r="I24" s="1">
        <f t="shared" si="3"/>
        <v>-6.1137744996813126E-2</v>
      </c>
      <c r="O24" s="1">
        <f t="shared" ca="1" si="4"/>
        <v>-5.0359812685262913E-2</v>
      </c>
      <c r="Q24" s="29">
        <f t="shared" si="5"/>
        <v>32214.080900000001</v>
      </c>
    </row>
    <row r="25" spans="1:18" x14ac:dyDescent="0.2">
      <c r="A25" s="24" t="s">
        <v>46</v>
      </c>
      <c r="B25" s="25" t="s">
        <v>49</v>
      </c>
      <c r="C25" s="24">
        <v>47232.581400000003</v>
      </c>
      <c r="D25" s="24" t="s">
        <v>48</v>
      </c>
      <c r="E25" s="1">
        <f t="shared" si="0"/>
        <v>78108.271166205523</v>
      </c>
      <c r="F25" s="1">
        <f t="shared" si="1"/>
        <v>78108.5</v>
      </c>
      <c r="G25" s="1">
        <f t="shared" si="2"/>
        <v>-6.0637744994892273E-2</v>
      </c>
      <c r="I25" s="1">
        <f t="shared" si="3"/>
        <v>-6.0637744994892273E-2</v>
      </c>
      <c r="O25" s="1">
        <f t="shared" ca="1" si="4"/>
        <v>-5.0359812685262913E-2</v>
      </c>
      <c r="Q25" s="29">
        <f t="shared" si="5"/>
        <v>32214.081400000003</v>
      </c>
    </row>
    <row r="26" spans="1:18" x14ac:dyDescent="0.2">
      <c r="A26" s="24" t="s">
        <v>46</v>
      </c>
      <c r="B26" s="25" t="s">
        <v>47</v>
      </c>
      <c r="C26" s="24">
        <v>47232.712400000004</v>
      </c>
      <c r="D26" s="24" t="s">
        <v>48</v>
      </c>
      <c r="E26" s="1">
        <f t="shared" si="0"/>
        <v>78108.765532001562</v>
      </c>
      <c r="F26" s="1">
        <f t="shared" si="1"/>
        <v>78109</v>
      </c>
      <c r="G26" s="1">
        <f t="shared" si="2"/>
        <v>-6.2130730002536438E-2</v>
      </c>
      <c r="I26" s="1">
        <f t="shared" si="3"/>
        <v>-6.2130730002536438E-2</v>
      </c>
      <c r="O26" s="1">
        <f t="shared" ca="1" si="4"/>
        <v>-5.0359840129674656E-2</v>
      </c>
      <c r="Q26" s="29">
        <f t="shared" si="5"/>
        <v>32214.212400000004</v>
      </c>
    </row>
    <row r="27" spans="1:18" x14ac:dyDescent="0.2">
      <c r="A27" s="24" t="s">
        <v>46</v>
      </c>
      <c r="B27" s="25" t="s">
        <v>47</v>
      </c>
      <c r="C27" s="24">
        <v>47232.712899999999</v>
      </c>
      <c r="D27" s="24" t="s">
        <v>48</v>
      </c>
      <c r="E27" s="1">
        <f t="shared" si="0"/>
        <v>78108.767418893898</v>
      </c>
      <c r="F27" s="1">
        <f t="shared" si="1"/>
        <v>78109</v>
      </c>
      <c r="G27" s="1">
        <f t="shared" si="2"/>
        <v>-6.1630730007891543E-2</v>
      </c>
      <c r="I27" s="1">
        <f t="shared" si="3"/>
        <v>-6.1630730007891543E-2</v>
      </c>
      <c r="O27" s="1">
        <f t="shared" ca="1" si="4"/>
        <v>-5.0359840129674656E-2</v>
      </c>
      <c r="Q27" s="29">
        <f t="shared" si="5"/>
        <v>32214.212899999999</v>
      </c>
    </row>
    <row r="28" spans="1:18" x14ac:dyDescent="0.2">
      <c r="A28" s="24" t="s">
        <v>46</v>
      </c>
      <c r="B28" s="25" t="s">
        <v>49</v>
      </c>
      <c r="C28" s="24">
        <v>47233.640800000001</v>
      </c>
      <c r="D28" s="24" t="s">
        <v>48</v>
      </c>
      <c r="E28" s="1">
        <f t="shared" si="0"/>
        <v>78112.269113719492</v>
      </c>
      <c r="F28" s="1">
        <f t="shared" si="1"/>
        <v>78112.5</v>
      </c>
      <c r="G28" s="1">
        <f t="shared" si="2"/>
        <v>-6.1181625002063811E-2</v>
      </c>
      <c r="I28" s="1">
        <f t="shared" si="3"/>
        <v>-6.1181625002063811E-2</v>
      </c>
      <c r="O28" s="1">
        <f t="shared" ca="1" si="4"/>
        <v>-5.0360032240556851E-2</v>
      </c>
      <c r="Q28" s="29">
        <f t="shared" si="5"/>
        <v>32215.140800000001</v>
      </c>
    </row>
    <row r="29" spans="1:18" x14ac:dyDescent="0.2">
      <c r="A29" s="24" t="s">
        <v>46</v>
      </c>
      <c r="B29" s="25" t="s">
        <v>49</v>
      </c>
      <c r="C29" s="24">
        <v>47233.640800000001</v>
      </c>
      <c r="D29" s="24" t="s">
        <v>48</v>
      </c>
      <c r="E29" s="1">
        <f t="shared" si="0"/>
        <v>78112.269113719492</v>
      </c>
      <c r="F29" s="1">
        <f t="shared" si="1"/>
        <v>78112.5</v>
      </c>
      <c r="G29" s="1">
        <f t="shared" si="2"/>
        <v>-6.1181625002063811E-2</v>
      </c>
      <c r="I29" s="1">
        <f t="shared" si="3"/>
        <v>-6.1181625002063811E-2</v>
      </c>
      <c r="O29" s="1">
        <f t="shared" ca="1" si="4"/>
        <v>-5.0360032240556851E-2</v>
      </c>
      <c r="Q29" s="29">
        <f t="shared" si="5"/>
        <v>32215.140800000001</v>
      </c>
    </row>
    <row r="30" spans="1:18" x14ac:dyDescent="0.2">
      <c r="A30" s="24" t="s">
        <v>46</v>
      </c>
      <c r="B30" s="25" t="s">
        <v>47</v>
      </c>
      <c r="C30" s="24">
        <v>47234.567799999997</v>
      </c>
      <c r="D30" s="24" t="s">
        <v>48</v>
      </c>
      <c r="E30" s="1">
        <f t="shared" si="0"/>
        <v>78115.767412138812</v>
      </c>
      <c r="F30" s="1">
        <f t="shared" si="1"/>
        <v>78116</v>
      </c>
      <c r="G30" s="1">
        <f t="shared" si="2"/>
        <v>-6.1632520002603997E-2</v>
      </c>
      <c r="I30" s="1">
        <f t="shared" si="3"/>
        <v>-6.1632520002603997E-2</v>
      </c>
      <c r="O30" s="1">
        <f t="shared" ca="1" si="4"/>
        <v>-5.0360224351439047E-2</v>
      </c>
      <c r="Q30" s="29">
        <f t="shared" si="5"/>
        <v>32216.067799999997</v>
      </c>
    </row>
    <row r="31" spans="1:18" x14ac:dyDescent="0.2">
      <c r="A31" s="24" t="s">
        <v>46</v>
      </c>
      <c r="B31" s="25" t="s">
        <v>47</v>
      </c>
      <c r="C31" s="24">
        <v>47234.568899999998</v>
      </c>
      <c r="D31" s="24" t="s">
        <v>48</v>
      </c>
      <c r="E31" s="1">
        <f t="shared" si="0"/>
        <v>78115.771563301998</v>
      </c>
      <c r="F31" s="1">
        <f t="shared" si="1"/>
        <v>78116</v>
      </c>
      <c r="G31" s="1">
        <f t="shared" si="2"/>
        <v>-6.0532520001288503E-2</v>
      </c>
      <c r="I31" s="1">
        <f t="shared" si="3"/>
        <v>-6.0532520001288503E-2</v>
      </c>
      <c r="O31" s="1">
        <f t="shared" ca="1" si="4"/>
        <v>-5.0360224351439047E-2</v>
      </c>
      <c r="Q31" s="29">
        <f t="shared" si="5"/>
        <v>32216.068899999998</v>
      </c>
    </row>
    <row r="32" spans="1:18" x14ac:dyDescent="0.2">
      <c r="A32" s="24" t="s">
        <v>46</v>
      </c>
      <c r="B32" s="25" t="s">
        <v>49</v>
      </c>
      <c r="C32" s="24">
        <v>47234.700599999996</v>
      </c>
      <c r="D32" s="24" t="s">
        <v>48</v>
      </c>
      <c r="E32" s="1">
        <f t="shared" si="0"/>
        <v>78116.268570747328</v>
      </c>
      <c r="F32" s="1">
        <f t="shared" si="1"/>
        <v>78116.5</v>
      </c>
      <c r="G32" s="1">
        <f t="shared" si="2"/>
        <v>-6.1325505004788283E-2</v>
      </c>
      <c r="I32" s="1">
        <f t="shared" si="3"/>
        <v>-6.1325505004788283E-2</v>
      </c>
      <c r="O32" s="1">
        <f t="shared" ca="1" si="4"/>
        <v>-5.036025179585079E-2</v>
      </c>
      <c r="Q32" s="29">
        <f t="shared" si="5"/>
        <v>32216.200599999996</v>
      </c>
    </row>
    <row r="33" spans="1:17" x14ac:dyDescent="0.2">
      <c r="A33" s="24" t="s">
        <v>46</v>
      </c>
      <c r="B33" s="25" t="s">
        <v>49</v>
      </c>
      <c r="C33" s="24">
        <v>47234.701000000001</v>
      </c>
      <c r="D33" s="24" t="s">
        <v>48</v>
      </c>
      <c r="E33" s="1">
        <f t="shared" si="0"/>
        <v>78116.270080261223</v>
      </c>
      <c r="F33" s="1">
        <f t="shared" si="1"/>
        <v>78116.5</v>
      </c>
      <c r="G33" s="1">
        <f t="shared" si="2"/>
        <v>-6.0925505000341218E-2</v>
      </c>
      <c r="I33" s="1">
        <f t="shared" si="3"/>
        <v>-6.0925505000341218E-2</v>
      </c>
      <c r="O33" s="1">
        <f t="shared" ca="1" si="4"/>
        <v>-5.036025179585079E-2</v>
      </c>
      <c r="Q33" s="29">
        <f t="shared" si="5"/>
        <v>32216.201000000001</v>
      </c>
    </row>
    <row r="34" spans="1:17" x14ac:dyDescent="0.2">
      <c r="A34" s="26" t="s">
        <v>50</v>
      </c>
      <c r="B34" s="27" t="s">
        <v>49</v>
      </c>
      <c r="C34" s="28">
        <v>58085.664210000075</v>
      </c>
      <c r="D34" s="28">
        <v>2.0000000000000001E-4</v>
      </c>
      <c r="E34" s="1">
        <f>+(C34-C$7)/C$8</f>
        <v>119065.46905105984</v>
      </c>
      <c r="F34" s="1">
        <f>ROUND(2*E34,0)/2</f>
        <v>119065.5</v>
      </c>
      <c r="G34" s="1">
        <f>+C34-(C$7+F34*C$8)</f>
        <v>-8.201034928788431E-3</v>
      </c>
      <c r="J34" s="1">
        <f>+G34</f>
        <v>-8.201034928788431E-3</v>
      </c>
      <c r="O34" s="1">
        <f ca="1">+C$11+C$12*$F34</f>
        <v>-5.2607894228725215E-2</v>
      </c>
      <c r="Q34" s="29">
        <f>+C34-15018.5</f>
        <v>43067.164210000075</v>
      </c>
    </row>
    <row r="35" spans="1:17" x14ac:dyDescent="0.2">
      <c r="A35" s="26" t="s">
        <v>50</v>
      </c>
      <c r="B35" s="27" t="s">
        <v>49</v>
      </c>
      <c r="C35" s="28">
        <v>58125.675979999825</v>
      </c>
      <c r="D35" s="28">
        <v>2.0000000000000001E-4</v>
      </c>
      <c r="E35" s="1">
        <f>+(C35-C$7)/C$8</f>
        <v>119216.46485661042</v>
      </c>
      <c r="F35" s="1">
        <f>ROUND(2*E35,0)/2</f>
        <v>119216.5</v>
      </c>
      <c r="G35" s="1">
        <f>+C35-(C$7+F35*C$8)</f>
        <v>-9.3125051789684221E-3</v>
      </c>
      <c r="J35" s="1">
        <f>+G35</f>
        <v>-9.3125051789684221E-3</v>
      </c>
      <c r="O35" s="1">
        <f ca="1">+C$11+C$12*$F35</f>
        <v>-5.2616182441071406E-2</v>
      </c>
      <c r="Q35" s="29">
        <f>+C35-15018.5</f>
        <v>43107.175979999825</v>
      </c>
    </row>
    <row r="36" spans="1:17" x14ac:dyDescent="0.2">
      <c r="Q36" s="29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2024-01-17T04:49:02Z</dcterms:created>
  <dcterms:modified xsi:type="dcterms:W3CDTF">2024-07-29T06:59:42Z</dcterms:modified>
</cp:coreProperties>
</file>