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66A338F-6915-45C5-ACFA-A424410BAE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22" i="1"/>
  <c r="A22" i="1"/>
  <c r="E23" i="1"/>
  <c r="F23" i="1" s="1"/>
  <c r="G23" i="1" s="1"/>
  <c r="I23" i="1" s="1"/>
  <c r="E24" i="1"/>
  <c r="F24" i="1" s="1"/>
  <c r="G24" i="1" s="1"/>
  <c r="I24" i="1" s="1"/>
  <c r="Q23" i="1"/>
  <c r="Q24" i="1"/>
  <c r="F11" i="1"/>
  <c r="E21" i="1"/>
  <c r="F21" i="1" s="1"/>
  <c r="G21" i="1" s="1"/>
  <c r="H21" i="1" s="1"/>
  <c r="C17" i="1"/>
  <c r="H20" i="1"/>
  <c r="G11" i="1"/>
  <c r="F14" i="1"/>
  <c r="Q21" i="1"/>
  <c r="C11" i="1"/>
  <c r="F15" i="1" l="1"/>
  <c r="C12" i="1"/>
  <c r="O22" i="1" l="1"/>
  <c r="S22" i="1" s="1"/>
  <c r="C16" i="1"/>
  <c r="D18" i="1" s="1"/>
  <c r="O24" i="1"/>
  <c r="S24" i="1" s="1"/>
  <c r="O23" i="1"/>
  <c r="S23" i="1" s="1"/>
  <c r="O21" i="1"/>
  <c r="S21" i="1" s="1"/>
  <c r="C15" i="1"/>
  <c r="S19" i="1" l="1"/>
  <c r="C18" i="1"/>
  <c r="F16" i="1"/>
  <c r="F17" i="1" s="1"/>
  <c r="F18" i="1" l="1"/>
</calcChain>
</file>

<file path=xl/sharedStrings.xml><?xml version="1.0" encoding="utf-8"?>
<sst xmlns="http://schemas.openxmlformats.org/spreadsheetml/2006/main" count="62" uniqueCount="56">
  <si>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</si>
  <si>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</si>
  <si>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</si>
  <si>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</si>
  <si>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</si>
  <si>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</si>
  <si>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</si>
  <si>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</si>
  <si>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</si>
  <si>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</si>
  <si>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</si>
  <si>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</si>
  <si>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</si>
  <si>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</si>
  <si>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</si>
  <si>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</si>
  <si>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</si>
  <si>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</si>
  <si>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</si>
  <si>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</si>
  <si>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</si>
  <si>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</si>
  <si>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</si>
  <si>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</si>
  <si>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</si>
  <si>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</si>
  <si>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</si>
  <si>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</si>
  <si>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</si>
  <si>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</si>
  <si>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</si>
  <si>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</si>
  <si>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</si>
  <si>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</si>
  <si>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</si>
  <si>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</si>
  <si>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</si>
  <si>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</si>
  <si>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</si>
  <si>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EL Vel</t>
  </si>
  <si>
    <t>EL Vel / GSC 7666-0032</t>
  </si>
  <si>
    <t>Vel_EL.xls</t>
  </si>
  <si>
    <t>Vel</t>
  </si>
  <si>
    <t>G7666-0032</t>
  </si>
  <si>
    <t>Malkov</t>
  </si>
  <si>
    <t>VSS_2013-01-28</t>
  </si>
  <si>
    <t>II</t>
  </si>
  <si>
    <t>I</t>
  </si>
  <si>
    <t>CCD</t>
  </si>
  <si>
    <t xml:space="preserve">Mag </t>
  </si>
  <si>
    <t>11.00-11.60</t>
  </si>
  <si>
    <t>VSX</t>
  </si>
  <si>
    <t>EA/D</t>
  </si>
  <si>
    <t>Next ToM-P</t>
  </si>
  <si>
    <t>Next Tom-S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</si>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</sst>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  <xf numFmtId="0" fontId="15" fillId="0" borderId="0" xfId="0" applyFont="1" applyAlignment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3" borderId="9" xfId="0" applyFont="1" applyFill="1" applyBorder="1" applyAlignment="1">
      <alignment horizontal="right" vertical="center"/>
    </xf>
    <xf numFmtId="0" fontId="15" fillId="3" borderId="10" xfId="0" applyFont="1" applyFill="1" applyBorder="1" applyAlignment="1"/>
    <xf numFmtId="0" fontId="16" fillId="0" borderId="11" xfId="0" applyFont="1" applyBorder="1" applyAlignment="1">
      <alignment horizontal="right" vertical="center"/>
    </xf>
    <xf numFmtId="0" fontId="11" fillId="0" borderId="12" xfId="0" applyFont="1" applyBorder="1">
      <alignment vertical="top"/>
    </xf>
    <xf numFmtId="0" fontId="8" fillId="0" borderId="12" xfId="0" applyFont="1" applyBorder="1">
      <alignment vertical="top"/>
    </xf>
    <xf numFmtId="0" fontId="7" fillId="0" borderId="12" xfId="0" applyFont="1" applyBorder="1" applyAlignment="1"/>
    <xf numFmtId="22" fontId="7" fillId="0" borderId="12" xfId="0" applyNumberFormat="1" applyFont="1" applyBorder="1">
      <alignment vertical="top"/>
    </xf>
    <xf numFmtId="22" fontId="17" fillId="0" borderId="13" xfId="0" applyNumberFormat="1" applyFont="1" applyBorder="1" applyAlignment="1"/>
    <xf numFmtId="0" fontId="16" fillId="0" borderId="14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EL Vel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-9629</c:v>
                </c:pt>
                <c:pt idx="1">
                  <c:v>0</c:v>
                </c:pt>
                <c:pt idx="2">
                  <c:v>1184.5</c:v>
                </c:pt>
                <c:pt idx="3">
                  <c:v>1220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-0.55957557000147062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BC-424B-B7B1-F6BBE04E315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-9629</c:v>
                </c:pt>
                <c:pt idx="1">
                  <c:v>0</c:v>
                </c:pt>
                <c:pt idx="2">
                  <c:v>1184.5</c:v>
                </c:pt>
                <c:pt idx="3">
                  <c:v>1220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  <c:pt idx="2">
                  <c:v>3.2829884999955539E-2</c:v>
                </c:pt>
                <c:pt idx="3">
                  <c:v>3.7242599995806813E-2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BC-424B-B7B1-F6BBE04E315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-9629</c:v>
                </c:pt>
                <c:pt idx="1">
                  <c:v>0</c:v>
                </c:pt>
                <c:pt idx="2">
                  <c:v>1184.5</c:v>
                </c:pt>
                <c:pt idx="3">
                  <c:v>1220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BC-424B-B7B1-F6BBE04E315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-9629</c:v>
                </c:pt>
                <c:pt idx="1">
                  <c:v>0</c:v>
                </c:pt>
                <c:pt idx="2">
                  <c:v>1184.5</c:v>
                </c:pt>
                <c:pt idx="3">
                  <c:v>1220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BC-424B-B7B1-F6BBE04E315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-9629</c:v>
                </c:pt>
                <c:pt idx="1">
                  <c:v>0</c:v>
                </c:pt>
                <c:pt idx="2">
                  <c:v>1184.5</c:v>
                </c:pt>
                <c:pt idx="3">
                  <c:v>1220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BC-424B-B7B1-F6BBE04E315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-9629</c:v>
                </c:pt>
                <c:pt idx="1">
                  <c:v>0</c:v>
                </c:pt>
                <c:pt idx="2">
                  <c:v>1184.5</c:v>
                </c:pt>
                <c:pt idx="3">
                  <c:v>1220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BC-424B-B7B1-F6BBE04E315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-9629</c:v>
                </c:pt>
                <c:pt idx="1">
                  <c:v>0</c:v>
                </c:pt>
                <c:pt idx="2">
                  <c:v>1184.5</c:v>
                </c:pt>
                <c:pt idx="3">
                  <c:v>1220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BC-424B-B7B1-F6BBE04E315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-9629</c:v>
                </c:pt>
                <c:pt idx="1">
                  <c:v>0</c:v>
                </c:pt>
                <c:pt idx="2">
                  <c:v>1184.5</c:v>
                </c:pt>
                <c:pt idx="3">
                  <c:v>1220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-0.5571377098406054</c:v>
                </c:pt>
                <c:pt idx="1">
                  <c:v>-2.1999067503204101E-2</c:v>
                </c:pt>
                <c:pt idx="2">
                  <c:v>4.3830377075532209E-2</c:v>
                </c:pt>
                <c:pt idx="3">
                  <c:v>4.5803315262569047E-2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BC-424B-B7B1-F6BBE04E315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-9629</c:v>
                </c:pt>
                <c:pt idx="1">
                  <c:v>0</c:v>
                </c:pt>
                <c:pt idx="2">
                  <c:v>1184.5</c:v>
                </c:pt>
                <c:pt idx="3">
                  <c:v>1220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8BC-424B-B7B1-F6BBE04E3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520968"/>
        <c:axId val="1"/>
      </c:scatterChart>
      <c:valAx>
        <c:axId val="632520968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520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492CADA-43AC-4EB7-6770-51FA81528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710937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  <c r="E1" t="s">
        <v>41</v>
      </c>
    </row>
    <row r="2" spans="1:7" x14ac:dyDescent="0.2">
      <c r="A2" t="s">
        <v>23</v>
      </c>
      <c r="B2" s="34" t="s">
        <v>52</v>
      </c>
      <c r="C2" s="28" t="s">
        <v>38</v>
      </c>
      <c r="D2" s="3" t="s">
        <v>42</v>
      </c>
      <c r="E2" s="29" t="s">
        <v>39</v>
      </c>
      <c r="F2" t="s">
        <v>43</v>
      </c>
    </row>
    <row r="3" spans="1:7" ht="13.5" thickBot="1" x14ac:dyDescent="0.25">
      <c r="E3" t="s">
        <v>43</v>
      </c>
    </row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  <c r="E6" s="35" t="s">
        <v>44</v>
      </c>
    </row>
    <row r="7" spans="1:7" x14ac:dyDescent="0.2">
      <c r="A7" t="s">
        <v>2</v>
      </c>
      <c r="C7" s="33">
        <v>52974.883000000002</v>
      </c>
      <c r="D7" s="27" t="s">
        <v>51</v>
      </c>
      <c r="E7" s="36">
        <v>26414.29</v>
      </c>
    </row>
    <row r="8" spans="1:7" x14ac:dyDescent="0.2">
      <c r="A8" t="s">
        <v>3</v>
      </c>
      <c r="C8" s="33">
        <v>2.75833767</v>
      </c>
      <c r="D8" s="27" t="s">
        <v>51</v>
      </c>
      <c r="E8" s="37">
        <v>2.7584200000000001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-2.1999067503204101E-2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5.5575723578502578E-5</v>
      </c>
      <c r="D12" s="3"/>
      <c r="E12" s="38" t="s">
        <v>49</v>
      </c>
      <c r="F12" s="39" t="s">
        <v>50</v>
      </c>
    </row>
    <row r="13" spans="1:7" x14ac:dyDescent="0.2">
      <c r="A13" s="10" t="s">
        <v>18</v>
      </c>
      <c r="B13" s="10"/>
      <c r="C13" s="3" t="s">
        <v>13</v>
      </c>
      <c r="E13" s="40" t="s">
        <v>34</v>
      </c>
      <c r="F13" s="41">
        <v>1</v>
      </c>
    </row>
    <row r="14" spans="1:7" x14ac:dyDescent="0.2">
      <c r="A14" s="10"/>
      <c r="B14" s="10"/>
      <c r="C14" s="10"/>
      <c r="E14" s="40" t="s">
        <v>31</v>
      </c>
      <c r="F14" s="42">
        <f ca="1">NOW()+15018.5+$C$9/24</f>
        <v>60520.79560868055</v>
      </c>
    </row>
    <row r="15" spans="1:7" x14ac:dyDescent="0.2">
      <c r="A15" s="12" t="s">
        <v>17</v>
      </c>
      <c r="B15" s="10"/>
      <c r="C15" s="13">
        <f ca="1">(C7+C11)+(C8+C12)*INT(MAX(F21:F3533))</f>
        <v>56340.100760715264</v>
      </c>
      <c r="E15" s="40" t="s">
        <v>35</v>
      </c>
      <c r="F15" s="42">
        <f ca="1">ROUND(2*(F14-$C$7)/$C$8,0)/2+F13</f>
        <v>2736.5</v>
      </c>
    </row>
    <row r="16" spans="1:7" x14ac:dyDescent="0.2">
      <c r="A16" s="15" t="s">
        <v>4</v>
      </c>
      <c r="B16" s="10"/>
      <c r="C16" s="16">
        <f ca="1">+C8+C12</f>
        <v>2.7583932457235782</v>
      </c>
      <c r="E16" s="40" t="s">
        <v>36</v>
      </c>
      <c r="F16" s="43">
        <f ca="1">ROUND(2*(F14-$C$15)/$C$16,0)/2+F13</f>
        <v>1516.5</v>
      </c>
    </row>
    <row r="17" spans="1:19" ht="13.5" thickBot="1" x14ac:dyDescent="0.25">
      <c r="A17" s="14" t="s">
        <v>28</v>
      </c>
      <c r="B17" s="10"/>
      <c r="C17" s="10">
        <f>COUNT(C21:C2191)</f>
        <v>4</v>
      </c>
      <c r="E17" s="40" t="s">
        <v>53</v>
      </c>
      <c r="F17" s="44">
        <f ca="1">+$C$15+$C$16*$F$16-15018.5-$C$9/24</f>
        <v>45505.099951188407</v>
      </c>
    </row>
    <row r="18" spans="1:19" ht="14.25" thickTop="1" thickBot="1" x14ac:dyDescent="0.25">
      <c r="A18" s="15" t="s">
        <v>5</v>
      </c>
      <c r="B18" s="10"/>
      <c r="C18" s="17">
        <f ca="1">+C15</f>
        <v>56340.100760715264</v>
      </c>
      <c r="D18" s="18">
        <f ca="1">+C16</f>
        <v>2.7583932457235782</v>
      </c>
      <c r="E18" s="46" t="s">
        <v>54</v>
      </c>
      <c r="F18" s="45">
        <f ca="1">+($C$15+$C$16*$F$16)-($C$16/2)-15018.5-$C$9/24</f>
        <v>45503.720754565547</v>
      </c>
    </row>
    <row r="19" spans="1:19" ht="13.5" thickTop="1" x14ac:dyDescent="0.2">
      <c r="A19" s="22" t="s">
        <v>32</v>
      </c>
      <c r="E19" s="23">
        <v>21</v>
      </c>
      <c r="S19">
        <f ca="1">SQRT(SUM(S21:S50)/(COUNT(S21:S50)-1))</f>
        <v>1.5101863074445103E-2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48</v>
      </c>
      <c r="J20" s="7" t="s">
        <v>55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9" x14ac:dyDescent="0.2">
      <c r="A21" t="s">
        <v>44</v>
      </c>
      <c r="C21" s="8">
        <v>26414.29</v>
      </c>
      <c r="D21" s="8" t="s">
        <v>13</v>
      </c>
      <c r="E21">
        <f>+(C21-C$7)/C$8</f>
        <v>-9629.2028669571846</v>
      </c>
      <c r="F21">
        <f>ROUND(2*E21,0)/2</f>
        <v>-9629</v>
      </c>
      <c r="G21">
        <f>+C21-(C$7+F21*C$8)</f>
        <v>-0.55957557000147062</v>
      </c>
      <c r="H21">
        <f>+G21</f>
        <v>-0.55957557000147062</v>
      </c>
      <c r="O21">
        <f ca="1">+C$11+C$12*$F21</f>
        <v>-0.5571377098406054</v>
      </c>
      <c r="Q21" s="2">
        <f>+C21-15018.5</f>
        <v>11395.79</v>
      </c>
      <c r="S21">
        <f ca="1">+(O21-G21)^2</f>
        <v>5.9431621639338159E-6</v>
      </c>
    </row>
    <row r="22" spans="1:19" x14ac:dyDescent="0.2">
      <c r="A22" t="str">
        <f>$D$7</f>
        <v>VSX</v>
      </c>
      <c r="C22" s="8">
        <f>$C$7</f>
        <v>52974.883000000002</v>
      </c>
      <c r="D22" s="8"/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-2.1999067503204101E-2</v>
      </c>
      <c r="Q22" s="2">
        <f>+C22-15018.5</f>
        <v>37956.383000000002</v>
      </c>
      <c r="S22">
        <f ca="1">+(O22-G22)^2</f>
        <v>4.8395897101053071E-4</v>
      </c>
    </row>
    <row r="23" spans="1:19" x14ac:dyDescent="0.2">
      <c r="A23" s="30" t="s">
        <v>45</v>
      </c>
      <c r="B23" s="31" t="s">
        <v>46</v>
      </c>
      <c r="C23" s="32">
        <v>56242.166799999999</v>
      </c>
      <c r="D23" s="32">
        <v>4.0000000000000002E-4</v>
      </c>
      <c r="E23">
        <f>+(C23-C$7)/C$8</f>
        <v>1184.5119020543984</v>
      </c>
      <c r="F23">
        <f>ROUND(2*E23,0)/2</f>
        <v>1184.5</v>
      </c>
      <c r="G23">
        <f>+C23-(C$7+F23*C$8)</f>
        <v>3.2829884999955539E-2</v>
      </c>
      <c r="I23">
        <f>+G23</f>
        <v>3.2829884999955539E-2</v>
      </c>
      <c r="O23">
        <f ca="1">+C$11+C$12*$F23</f>
        <v>4.3830377075532209E-2</v>
      </c>
      <c r="Q23" s="2">
        <f>+C23-15018.5</f>
        <v>41223.666799999999</v>
      </c>
      <c r="S23">
        <f ca="1">+(O23-G23)^2</f>
        <v>1.2101082590482513E-4</v>
      </c>
    </row>
    <row r="24" spans="1:19" x14ac:dyDescent="0.2">
      <c r="A24" s="30" t="s">
        <v>45</v>
      </c>
      <c r="B24" s="31" t="s">
        <v>47</v>
      </c>
      <c r="C24" s="32">
        <v>56340.092199999999</v>
      </c>
      <c r="D24" s="32">
        <v>2.0000000000000001E-4</v>
      </c>
      <c r="E24">
        <f>+(C24-C$7)/C$8</f>
        <v>1220.013501827714</v>
      </c>
      <c r="F24">
        <f>ROUND(2*E24,0)/2</f>
        <v>1220</v>
      </c>
      <c r="G24">
        <f>+C24-(C$7+F24*C$8)</f>
        <v>3.7242599995806813E-2</v>
      </c>
      <c r="I24">
        <f>+G24</f>
        <v>3.7242599995806813E-2</v>
      </c>
      <c r="O24">
        <f ca="1">+C$11+C$12*$F24</f>
        <v>4.5803315262569047E-2</v>
      </c>
      <c r="Q24" s="2">
        <f>+C24-15018.5</f>
        <v>41321.592199999999</v>
      </c>
      <c r="S24">
        <f ca="1">+(O24-G24)^2</f>
        <v>7.3285845878575979E-5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T26">
    <sortCondition ref="C21:C26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2024-07-29T07:05:40Z</dcterms:modified>
</cp:coreProperties>
</file>