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3EE8BC1-C3FF-45B9-90C9-511506B65E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A22" i="1"/>
  <c r="E23" i="1"/>
  <c r="F23" i="1" s="1"/>
  <c r="G23" i="1" s="1"/>
  <c r="J23" i="1" s="1"/>
  <c r="E24" i="1"/>
  <c r="F24" i="1" s="1"/>
  <c r="G24" i="1" s="1"/>
  <c r="J24" i="1" s="1"/>
  <c r="E25" i="1"/>
  <c r="F25" i="1" s="1"/>
  <c r="G25" i="1" s="1"/>
  <c r="J25" i="1" s="1"/>
  <c r="Q23" i="1"/>
  <c r="Q24" i="1"/>
  <c r="Q25" i="1"/>
  <c r="F11" i="1"/>
  <c r="E21" i="1"/>
  <c r="F21" i="1" s="1"/>
  <c r="G21" i="1" s="1"/>
  <c r="H21" i="1" s="1"/>
  <c r="G11" i="1"/>
  <c r="F14" i="1"/>
  <c r="F15" i="1" s="1"/>
  <c r="C17" i="1"/>
  <c r="Q21" i="1"/>
  <c r="C12" i="1"/>
  <c r="C16" i="1" l="1"/>
  <c r="D18" i="1" s="1"/>
  <c r="C11" i="1"/>
  <c r="O22" i="1" l="1"/>
  <c r="S22" i="1" s="1"/>
  <c r="O21" i="1"/>
  <c r="S21" i="1" s="1"/>
  <c r="O25" i="1"/>
  <c r="S25" i="1" s="1"/>
  <c r="C15" i="1"/>
  <c r="O23" i="1"/>
  <c r="S23" i="1" s="1"/>
  <c r="O24" i="1"/>
  <c r="S24" i="1" s="1"/>
  <c r="C18" i="1" l="1"/>
  <c r="S19" i="1"/>
  <c r="F16" i="1"/>
  <c r="F17" i="1" s="1"/>
  <c r="F18" i="1" l="1"/>
</calcChain>
</file>

<file path=xl/sharedStrings.xml><?xml version="1.0" encoding="utf-8"?>
<sst xmlns="http://schemas.openxmlformats.org/spreadsheetml/2006/main" count="65" uniqueCount="56">
  <si>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</si>
  <si>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</si>
  <si>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</si>
  <si>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</si>
  <si>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</si>
  <si>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</si>
  <si>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</si>
  <si>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</si>
  <si>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</si>
  <si>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</si>
  <si>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</si>
  <si>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</si>
  <si>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</si>
  <si>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</si>
  <si>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</si>
  <si>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</si>
  <si>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</si>
  <si>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</si>
  <si>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</si>
  <si>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</si>
  <si>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</si>
  <si>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</si>
  <si>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</si>
  <si>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</si>
  <si>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</si>
  <si>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</si>
  <si>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</si>
  <si>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</si>
  <si>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</si>
  <si>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</si>
  <si>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</si>
  <si>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</si>
  <si>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</si>
  <si>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</si>
  <si>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</si>
  <si>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</si>
  <si>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</si>
  <si>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</si>
  <si>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</si>
  <si>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FV Vel</t>
  </si>
  <si>
    <t>FV Vel / GSC 7705-2098</t>
  </si>
  <si>
    <t>Vel_FV.xls</t>
  </si>
  <si>
    <t>EA</t>
  </si>
  <si>
    <t>Vel</t>
  </si>
  <si>
    <t>G7705-2098</t>
  </si>
  <si>
    <t>Malkov</t>
  </si>
  <si>
    <t>VSS_2013-01-28</t>
  </si>
  <si>
    <t>I</t>
  </si>
  <si>
    <t>II</t>
  </si>
  <si>
    <t>CCD</t>
  </si>
  <si>
    <t xml:space="preserve">Mag </t>
  </si>
  <si>
    <t>10.81-12.20</t>
  </si>
  <si>
    <t>Next ToM-P</t>
  </si>
  <si>
    <t>Next ToM-S</t>
  </si>
  <si>
    <t>VSX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</si>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</sst>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5" fillId="3" borderId="9" xfId="0" applyFont="1" applyFill="1" applyBorder="1" applyAlignment="1">
      <alignment horizontal="right" vertical="center"/>
    </xf>
    <xf numFmtId="0" fontId="15" fillId="3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22" fontId="7" fillId="0" borderId="12" xfId="0" applyNumberFormat="1" applyFont="1" applyBorder="1" applyAlignment="1">
      <alignment horizontal="right" vertical="center"/>
    </xf>
    <xf numFmtId="22" fontId="17" fillId="0" borderId="13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FV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-16123.5</c:v>
                </c:pt>
                <c:pt idx="1">
                  <c:v>0</c:v>
                </c:pt>
                <c:pt idx="2">
                  <c:v>1672</c:v>
                </c:pt>
                <c:pt idx="3">
                  <c:v>1960.5</c:v>
                </c:pt>
                <c:pt idx="4">
                  <c:v>1973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0.31808499999897322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0C-4A98-8D58-4964FA10E4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-16123.5</c:v>
                </c:pt>
                <c:pt idx="1">
                  <c:v>0</c:v>
                </c:pt>
                <c:pt idx="2">
                  <c:v>1672</c:v>
                </c:pt>
                <c:pt idx="3">
                  <c:v>1960.5</c:v>
                </c:pt>
                <c:pt idx="4">
                  <c:v>1973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0C-4A98-8D58-4964FA10E4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-16123.5</c:v>
                </c:pt>
                <c:pt idx="1">
                  <c:v>0</c:v>
                </c:pt>
                <c:pt idx="2">
                  <c:v>1672</c:v>
                </c:pt>
                <c:pt idx="3">
                  <c:v>1960.5</c:v>
                </c:pt>
                <c:pt idx="4">
                  <c:v>1973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3.184000000328524E-2</c:v>
                </c:pt>
                <c:pt idx="3">
                  <c:v>3.9844999999331776E-2</c:v>
                </c:pt>
                <c:pt idx="4">
                  <c:v>3.7870000007387716E-2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0C-4A98-8D58-4964FA10E4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-16123.5</c:v>
                </c:pt>
                <c:pt idx="1">
                  <c:v>0</c:v>
                </c:pt>
                <c:pt idx="2">
                  <c:v>1672</c:v>
                </c:pt>
                <c:pt idx="3">
                  <c:v>1960.5</c:v>
                </c:pt>
                <c:pt idx="4">
                  <c:v>1973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0C-4A98-8D58-4964FA10E4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-16123.5</c:v>
                </c:pt>
                <c:pt idx="1">
                  <c:v>0</c:v>
                </c:pt>
                <c:pt idx="2">
                  <c:v>1672</c:v>
                </c:pt>
                <c:pt idx="3">
                  <c:v>1960.5</c:v>
                </c:pt>
                <c:pt idx="4">
                  <c:v>1973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0C-4A98-8D58-4964FA10E4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-16123.5</c:v>
                </c:pt>
                <c:pt idx="1">
                  <c:v>0</c:v>
                </c:pt>
                <c:pt idx="2">
                  <c:v>1672</c:v>
                </c:pt>
                <c:pt idx="3">
                  <c:v>1960.5</c:v>
                </c:pt>
                <c:pt idx="4">
                  <c:v>1973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0C-4A98-8D58-4964FA10E4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3.8000000000000002E-5</c:v>
                  </c:pt>
                  <c:pt idx="3">
                    <c:v>0.01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-16123.5</c:v>
                </c:pt>
                <c:pt idx="1">
                  <c:v>0</c:v>
                </c:pt>
                <c:pt idx="2">
                  <c:v>1672</c:v>
                </c:pt>
                <c:pt idx="3">
                  <c:v>1960.5</c:v>
                </c:pt>
                <c:pt idx="4">
                  <c:v>1973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0C-4A98-8D58-4964FA10E4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-16123.5</c:v>
                </c:pt>
                <c:pt idx="1">
                  <c:v>0</c:v>
                </c:pt>
                <c:pt idx="2">
                  <c:v>1672</c:v>
                </c:pt>
                <c:pt idx="3">
                  <c:v>1960.5</c:v>
                </c:pt>
                <c:pt idx="4">
                  <c:v>1973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0.31261311478383563</c:v>
                </c:pt>
                <c:pt idx="1">
                  <c:v>5.1455271419173783E-2</c:v>
                </c:pt>
                <c:pt idx="2">
                  <c:v>2.437331563378509E-2</c:v>
                </c:pt>
                <c:pt idx="3">
                  <c:v>1.9700382473447388E-2</c:v>
                </c:pt>
                <c:pt idx="4">
                  <c:v>1.9497915698736046E-2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0C-4A98-8D58-4964FA10E4C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-16123.5</c:v>
                </c:pt>
                <c:pt idx="1">
                  <c:v>0</c:v>
                </c:pt>
                <c:pt idx="2">
                  <c:v>1672</c:v>
                </c:pt>
                <c:pt idx="3">
                  <c:v>1960.5</c:v>
                </c:pt>
                <c:pt idx="4">
                  <c:v>1973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0C-4A98-8D58-4964FA10E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1520"/>
        <c:axId val="1"/>
      </c:scatterChart>
      <c:valAx>
        <c:axId val="685111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1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571500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66AC6C-C658-026D-0AD8-B23D5CEB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7109375" customWidth="1"/>
    <col min="2" max="2" width="4.85546875" customWidth="1"/>
    <col min="3" max="3" width="11.85546875" customWidth="1"/>
    <col min="4" max="4" width="9.42578125" customWidth="1"/>
    <col min="5" max="5" width="12.855468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t="s">
        <v>41</v>
      </c>
    </row>
    <row r="2" spans="1:7" x14ac:dyDescent="0.2">
      <c r="A2" t="s">
        <v>23</v>
      </c>
      <c r="B2" t="s">
        <v>42</v>
      </c>
      <c r="C2" s="27" t="s">
        <v>38</v>
      </c>
      <c r="D2" s="3" t="s">
        <v>43</v>
      </c>
      <c r="E2" s="28" t="s">
        <v>39</v>
      </c>
      <c r="F2" t="s">
        <v>44</v>
      </c>
    </row>
    <row r="3" spans="1:7" ht="13.5" thickBot="1" x14ac:dyDescent="0.25">
      <c r="E3" t="s">
        <v>44</v>
      </c>
    </row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  <c r="E6" s="34" t="s">
        <v>45</v>
      </c>
    </row>
    <row r="7" spans="1:7" x14ac:dyDescent="0.2">
      <c r="A7" t="s">
        <v>2</v>
      </c>
      <c r="C7" s="32">
        <v>53418.773999999998</v>
      </c>
      <c r="D7" s="33" t="s">
        <v>54</v>
      </c>
      <c r="E7" s="35">
        <v>28893.474999999999</v>
      </c>
    </row>
    <row r="8" spans="1:7" x14ac:dyDescent="0.2">
      <c r="A8" t="s">
        <v>3</v>
      </c>
      <c r="C8" s="32">
        <v>1.52111</v>
      </c>
      <c r="D8" s="33" t="s">
        <v>54</v>
      </c>
      <c r="E8" s="36">
        <v>3.0422799999999999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5.1455271419173783E-2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-1.6197341976907114E-5</v>
      </c>
      <c r="D12" s="3"/>
      <c r="E12" s="37" t="s">
        <v>50</v>
      </c>
      <c r="F12" s="38" t="s">
        <v>51</v>
      </c>
    </row>
    <row r="13" spans="1:7" x14ac:dyDescent="0.2">
      <c r="A13" s="10" t="s">
        <v>18</v>
      </c>
      <c r="B13" s="10"/>
      <c r="C13" s="3" t="s">
        <v>13</v>
      </c>
      <c r="E13" s="39" t="s">
        <v>34</v>
      </c>
      <c r="F13" s="40">
        <v>1</v>
      </c>
    </row>
    <row r="14" spans="1:7" x14ac:dyDescent="0.2">
      <c r="A14" s="10"/>
      <c r="B14" s="10"/>
      <c r="C14" s="10"/>
      <c r="E14" s="39" t="s">
        <v>31</v>
      </c>
      <c r="F14" s="41">
        <f ca="1">NOW()+15018.5+$C$9/24</f>
        <v>60520.796932523146</v>
      </c>
    </row>
    <row r="15" spans="1:7" x14ac:dyDescent="0.2">
      <c r="A15" s="12" t="s">
        <v>17</v>
      </c>
      <c r="B15" s="10"/>
      <c r="C15" s="13">
        <f ca="1">(C7+C11)+(C8+C12)*INT(MAX(F21:F3533))</f>
        <v>56419.94352791569</v>
      </c>
      <c r="E15" s="39" t="s">
        <v>35</v>
      </c>
      <c r="F15" s="41">
        <f ca="1">ROUND(2*(F14-$C$7)/$C$8,0)/2+F13</f>
        <v>4670</v>
      </c>
    </row>
    <row r="16" spans="1:7" x14ac:dyDescent="0.2">
      <c r="A16" s="15" t="s">
        <v>4</v>
      </c>
      <c r="B16" s="10"/>
      <c r="C16" s="16">
        <f ca="1">+C8+C12</f>
        <v>1.521093802658023</v>
      </c>
      <c r="E16" s="39" t="s">
        <v>36</v>
      </c>
      <c r="F16" s="42">
        <f ca="1">ROUND(2*(F14-$C$15)/$C$16,0)/2+F13</f>
        <v>2697</v>
      </c>
    </row>
    <row r="17" spans="1:19" ht="13.5" thickBot="1" x14ac:dyDescent="0.25">
      <c r="A17" s="14" t="s">
        <v>28</v>
      </c>
      <c r="B17" s="10"/>
      <c r="C17" s="10">
        <f>COUNT(C21:C2191)</f>
        <v>5</v>
      </c>
      <c r="E17" s="39" t="s">
        <v>52</v>
      </c>
      <c r="F17" s="43">
        <f ca="1">+$C$15+$C$16*$F$16-15018.5-$C$9/24</f>
        <v>45504.229347017717</v>
      </c>
    </row>
    <row r="18" spans="1:19" ht="14.25" thickTop="1" thickBot="1" x14ac:dyDescent="0.25">
      <c r="A18" s="15" t="s">
        <v>5</v>
      </c>
      <c r="B18" s="10"/>
      <c r="C18" s="17">
        <f ca="1">+C15</f>
        <v>56419.94352791569</v>
      </c>
      <c r="D18" s="18">
        <f ca="1">+C16</f>
        <v>1.521093802658023</v>
      </c>
      <c r="E18" s="45" t="s">
        <v>53</v>
      </c>
      <c r="F18" s="44">
        <f ca="1">+($C$15+$C$16*$F$16)-($C$16/2)-15018.5-$C$9/24</f>
        <v>45503.468800116389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2.9481676331284973E-2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55</v>
      </c>
      <c r="I20" s="7" t="s">
        <v>54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">
        <v>45</v>
      </c>
      <c r="C21" s="8">
        <v>28893.474999999999</v>
      </c>
      <c r="D21" s="8" t="s">
        <v>13</v>
      </c>
      <c r="E21">
        <f>+(C21-C$7)/C$8</f>
        <v>-16123.290886260691</v>
      </c>
      <c r="F21">
        <f>ROUND(2*E21,0)/2</f>
        <v>-16123.5</v>
      </c>
      <c r="G21">
        <f>+C21-(C$7+F21*C$8)</f>
        <v>0.31808499999897322</v>
      </c>
      <c r="H21">
        <f>+G21</f>
        <v>0.31808499999897322</v>
      </c>
      <c r="O21">
        <f ca="1">+C$11+C$12*$F21</f>
        <v>0.31261311478383563</v>
      </c>
      <c r="Q21" s="2">
        <f>+C21-15018.5</f>
        <v>13874.974999999999</v>
      </c>
      <c r="S21">
        <f ca="1">+(O21-G21)^2</f>
        <v>2.9941527807641285E-5</v>
      </c>
    </row>
    <row r="22" spans="1:19" x14ac:dyDescent="0.2">
      <c r="A22" t="str">
        <f>$D$7</f>
        <v>VSX</v>
      </c>
      <c r="C22" s="8">
        <f>$C$7</f>
        <v>53418.773999999998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5.1455271419173783E-2</v>
      </c>
      <c r="Q22" s="2">
        <f>+C22-15018.5</f>
        <v>38400.273999999998</v>
      </c>
      <c r="S22">
        <f ca="1">+(O22-G22)^2</f>
        <v>2.6476449568208424E-3</v>
      </c>
    </row>
    <row r="23" spans="1:19" x14ac:dyDescent="0.2">
      <c r="A23" s="29" t="s">
        <v>46</v>
      </c>
      <c r="B23" s="30" t="s">
        <v>47</v>
      </c>
      <c r="C23" s="31">
        <v>55962.101759999998</v>
      </c>
      <c r="D23" s="31">
        <v>3.8000000000000002E-5</v>
      </c>
      <c r="E23">
        <f>+(C23-C$7)/C$8</f>
        <v>1672.0209320824924</v>
      </c>
      <c r="F23">
        <f>ROUND(2*E23,0)/2</f>
        <v>1672</v>
      </c>
      <c r="G23">
        <f>+C23-(C$7+F23*C$8)</f>
        <v>3.184000000328524E-2</v>
      </c>
      <c r="J23">
        <f>+G23</f>
        <v>3.184000000328524E-2</v>
      </c>
      <c r="O23">
        <f ca="1">+C$11+C$12*$F23</f>
        <v>2.437331563378509E-2</v>
      </c>
      <c r="Q23" s="2">
        <f>+C23-15018.5</f>
        <v>40943.601759999998</v>
      </c>
      <c r="S23">
        <f ca="1">+(O23-G23)^2</f>
        <v>5.5751375473737858E-5</v>
      </c>
    </row>
    <row r="24" spans="1:19" x14ac:dyDescent="0.2">
      <c r="A24" s="29" t="s">
        <v>46</v>
      </c>
      <c r="B24" s="30" t="s">
        <v>48</v>
      </c>
      <c r="C24" s="31">
        <v>56400.95</v>
      </c>
      <c r="D24" s="31">
        <v>0.01</v>
      </c>
      <c r="E24">
        <f>+(C24-C$7)/C$8</f>
        <v>1960.5261946867745</v>
      </c>
      <c r="F24">
        <f>ROUND(2*E24,0)/2</f>
        <v>1960.5</v>
      </c>
      <c r="G24">
        <f>+C24-(C$7+F24*C$8)</f>
        <v>3.9844999999331776E-2</v>
      </c>
      <c r="J24">
        <f>+G24</f>
        <v>3.9844999999331776E-2</v>
      </c>
      <c r="O24">
        <f ca="1">+C$11+C$12*$F24</f>
        <v>1.9700382473447388E-2</v>
      </c>
      <c r="Q24" s="2">
        <f>+C24-15018.5</f>
        <v>41382.449999999997</v>
      </c>
      <c r="S24">
        <f ca="1">+(O24-G24)^2</f>
        <v>4.0580561526416847E-4</v>
      </c>
    </row>
    <row r="25" spans="1:19" x14ac:dyDescent="0.2">
      <c r="A25" s="29" t="s">
        <v>46</v>
      </c>
      <c r="B25" s="30" t="s">
        <v>47</v>
      </c>
      <c r="C25" s="31">
        <v>56419.961900000002</v>
      </c>
      <c r="D25" s="31">
        <v>2.0000000000000001E-4</v>
      </c>
      <c r="E25">
        <f>+(C25-C$7)/C$8</f>
        <v>1973.0248962928417</v>
      </c>
      <c r="F25">
        <f>ROUND(2*E25,0)/2</f>
        <v>1973</v>
      </c>
      <c r="G25">
        <f>+C25-(C$7+F25*C$8)</f>
        <v>3.7870000007387716E-2</v>
      </c>
      <c r="J25">
        <f>+G25</f>
        <v>3.7870000007387716E-2</v>
      </c>
      <c r="O25">
        <f ca="1">+C$11+C$12*$F25</f>
        <v>1.9497915698736046E-2</v>
      </c>
      <c r="Q25" s="2">
        <f>+C25-15018.5</f>
        <v>41401.461900000002</v>
      </c>
      <c r="S25">
        <f ca="1">+(O25-G25)^2</f>
        <v>3.3753348184420494E-4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8">
    <sortCondition ref="C21:C28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2024-07-29T07:07:35Z</dcterms:modified>
</cp:coreProperties>
</file>