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37BF30F-F597-4CC1-8E26-D00E2E0ECD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1" i="1"/>
  <c r="F21" i="1"/>
  <c r="G11" i="1"/>
  <c r="F11" i="1"/>
  <c r="Q23" i="1"/>
  <c r="Q22" i="1"/>
  <c r="C7" i="1"/>
  <c r="E23" i="1"/>
  <c r="F23" i="1"/>
  <c r="C17" i="1"/>
  <c r="Q21" i="1"/>
  <c r="G21" i="1"/>
  <c r="H21" i="1"/>
  <c r="E22" i="1"/>
  <c r="F22" i="1"/>
  <c r="G22" i="1"/>
  <c r="G23" i="1"/>
  <c r="I23" i="1"/>
  <c r="I22" i="1"/>
  <c r="C12" i="1"/>
  <c r="F15" i="1" l="1"/>
  <c r="C16" i="1"/>
  <c r="D18" i="1" s="1"/>
  <c r="C11" i="1"/>
  <c r="O22" i="1" l="1"/>
  <c r="O21" i="1"/>
  <c r="O23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<sst xmlns="http://schemas.openxmlformats.org/spreadsheetml/2006/main" count="54" uniqueCount="50">
  <si>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</si>
  <si>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</si>
  <si>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</si>
  <si>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</si>
  <si>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</si>
  <si>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</si>
  <si>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</si>
  <si>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</si>
  <si>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</si>
  <si>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</si>
  <si>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</si>
  <si>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</si>
  <si>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</si>
  <si>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</si>
  <si>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</si>
  <si>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</si>
  <si>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</si>
  <si>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</si>
  <si>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</si>
  <si>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</si>
  <si>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</si>
  <si>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</si>
  <si>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</si>
  <si>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</si>
  <si>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</si>
  <si>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</si>
  <si>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</si>
  <si>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</si>
  <si>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</si>
  <si>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</si>
  <si>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</si>
  <si>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</si>
  <si>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</si>
  <si>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</si>
  <si>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</si>
  <si>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</si>
  <si>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</si>
  <si>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GT Vel / GSC 7686-1288</t>
  </si>
  <si>
    <t>VSX</t>
  </si>
  <si>
    <t>not avail.</t>
  </si>
  <si>
    <t>IBVS 5931</t>
  </si>
  <si>
    <t>II</t>
  </si>
  <si>
    <t>IBVS 5652</t>
  </si>
  <si>
    <t>CCD</t>
  </si>
  <si>
    <t xml:space="preserve">Mag </t>
  </si>
  <si>
    <t>Add cycle</t>
  </si>
  <si>
    <t>Old Cycle</t>
  </si>
  <si>
    <t>Next ToM-P</t>
  </si>
  <si>
    <t>Next ToM-S</t>
  </si>
  <si>
    <t>9.68-10.63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</si>
</sst>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61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14" fontId="14" fillId="0" borderId="0" xfId="0" applyNumberFormat="1" applyFont="1" applyAlignme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/>
    <xf numFmtId="0" fontId="14" fillId="0" borderId="6" xfId="0" applyFont="1" applyBorder="1" applyAlignment="1">
      <alignment horizontal="left"/>
    </xf>
    <xf numFmtId="0" fontId="16" fillId="2" borderId="6" xfId="0" applyFont="1" applyFill="1" applyBorder="1" applyAlignment="1"/>
    <xf numFmtId="0" fontId="0" fillId="3" borderId="7" xfId="0" applyFill="1" applyBorder="1" applyAlignment="1">
      <alignment horizontal="right" vertical="center"/>
    </xf>
    <xf numFmtId="0" fontId="14" fillId="3" borderId="8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right" vertical="center"/>
    </xf>
    <xf numFmtId="0" fontId="20" fillId="0" borderId="10" xfId="0" applyFont="1" applyBorder="1" applyAlignment="1"/>
    <xf numFmtId="0" fontId="19" fillId="0" borderId="10" xfId="0" applyFont="1" applyBorder="1" applyAlignment="1"/>
    <xf numFmtId="22" fontId="18" fillId="0" borderId="9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/>
    <xf numFmtId="22" fontId="19" fillId="0" borderId="11" xfId="0" applyNumberFormat="1" applyFont="1" applyBorder="1" applyAlignment="1"/>
    <xf numFmtId="0" fontId="18" fillId="0" borderId="12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GT Vel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2570.5</c:v>
                </c:pt>
                <c:pt idx="2">
                  <c:v>2181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-2.3350349999964237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6B-4B9D-A724-D70600B9ACF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2570.5</c:v>
                </c:pt>
                <c:pt idx="2">
                  <c:v>2181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0.44336499999917578</c:v>
                </c:pt>
                <c:pt idx="2">
                  <c:v>7.7330000000074506E-2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6B-4B9D-A724-D70600B9ACF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2570.5</c:v>
                </c:pt>
                <c:pt idx="2">
                  <c:v>2181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6B-4B9D-A724-D70600B9ACF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2570.5</c:v>
                </c:pt>
                <c:pt idx="2">
                  <c:v>2181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6B-4B9D-A724-D70600B9ACF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2570.5</c:v>
                </c:pt>
                <c:pt idx="2">
                  <c:v>2181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6B-4B9D-A724-D70600B9AC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2570.5</c:v>
                </c:pt>
                <c:pt idx="2">
                  <c:v>2181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6B-4B9D-A724-D70600B9AC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2570.5</c:v>
                </c:pt>
                <c:pt idx="2">
                  <c:v>2181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F6B-4B9D-A724-D70600B9ACF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2570.5</c:v>
                </c:pt>
                <c:pt idx="2">
                  <c:v>2181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-1.9718081707266015</c:v>
                </c:pt>
                <c:pt idx="1">
                  <c:v>0.44336499999917578</c:v>
                </c:pt>
                <c:pt idx="2">
                  <c:v>7.7330000000074506E-2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F6B-4B9D-A724-D70600B9A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260800"/>
        <c:axId val="1"/>
      </c:scatterChart>
      <c:valAx>
        <c:axId val="635260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260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75366568914952"/>
          <c:w val="0.6736842105263158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28575</xdr:rowOff>
    </xdr:from>
    <xdr:to>
      <xdr:col>17</xdr:col>
      <xdr:colOff>161925</xdr:colOff>
      <xdr:row>18</xdr:row>
      <xdr:rowOff>161925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149C5B8-E68F-C90D-F7AB-5110CF14A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41689.08</v>
      </c>
      <c r="D4" s="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41689.08</v>
      </c>
    </row>
    <row r="8" spans="1:7" x14ac:dyDescent="0.2">
      <c r="A8" t="s">
        <v>3</v>
      </c>
      <c r="C8">
        <v>4.6700699999999999</v>
      </c>
      <c r="D8" t="s">
        <v>38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1">
        <f ca="1">INTERCEPT(INDIRECT($G$11):G992,INDIRECT($F$11):F992)</f>
        <v>-1.9722780487753808</v>
      </c>
      <c r="D11" s="3"/>
      <c r="E11" s="12"/>
      <c r="F11" s="22" t="str">
        <f>"F"&amp;E19</f>
        <v>F22</v>
      </c>
      <c r="G11" s="23" t="str">
        <f>"G"&amp;E19</f>
        <v>G22</v>
      </c>
    </row>
    <row r="12" spans="1:7" x14ac:dyDescent="0.2">
      <c r="A12" s="12" t="s">
        <v>17</v>
      </c>
      <c r="B12" s="12"/>
      <c r="C12" s="21">
        <f ca="1">SLOPE(INDIRECT($G$11):G992,INDIRECT($F$11):F992)</f>
        <v>9.3975609755866821E-4</v>
      </c>
      <c r="D12" s="3"/>
      <c r="E12" s="36" t="s">
        <v>44</v>
      </c>
      <c r="F12" s="37" t="s">
        <v>49</v>
      </c>
    </row>
    <row r="13" spans="1:7" x14ac:dyDescent="0.2">
      <c r="A13" s="12" t="s">
        <v>19</v>
      </c>
      <c r="B13" s="12"/>
      <c r="C13" s="3" t="s">
        <v>14</v>
      </c>
      <c r="D13" s="3"/>
      <c r="E13" s="38" t="s">
        <v>45</v>
      </c>
      <c r="F13" s="39">
        <v>1</v>
      </c>
    </row>
    <row r="14" spans="1:7" x14ac:dyDescent="0.2">
      <c r="A14" s="12"/>
      <c r="B14" s="12"/>
      <c r="C14" s="12"/>
      <c r="D14" s="12"/>
      <c r="E14" s="38" t="s">
        <v>33</v>
      </c>
      <c r="F14" s="40">
        <f ca="1">NOW()+15018.5+$C$9/24</f>
        <v>60520.798261574069</v>
      </c>
    </row>
    <row r="15" spans="1:7" x14ac:dyDescent="0.2">
      <c r="A15" s="14" t="s">
        <v>18</v>
      </c>
      <c r="B15" s="12"/>
      <c r="C15" s="15">
        <f ca="1">(C7+C11)+(C8+C12)*INT(MAX(F21:F3533))</f>
        <v>53691.602795121958</v>
      </c>
      <c r="D15" s="16" t="s">
        <v>33</v>
      </c>
      <c r="E15" s="38" t="s">
        <v>46</v>
      </c>
      <c r="F15" s="40">
        <f ca="1">ROUND(2*($F$14-$C$7)/$C$8,0)/2+$F$13</f>
        <v>4033.5</v>
      </c>
    </row>
    <row r="16" spans="1:7" x14ac:dyDescent="0.2">
      <c r="A16" s="17" t="s">
        <v>4</v>
      </c>
      <c r="B16" s="12"/>
      <c r="C16" s="18">
        <f ca="1">+C8+C12</f>
        <v>4.6710097560975585</v>
      </c>
      <c r="D16" s="16" t="s">
        <v>34</v>
      </c>
      <c r="E16" s="38" t="s">
        <v>34</v>
      </c>
      <c r="F16" s="40">
        <f ca="1">ROUND(2*($F$14-$C$15)/$C$16,0)/2+$F$13</f>
        <v>1463</v>
      </c>
    </row>
    <row r="17" spans="1:19" ht="13.5" thickBot="1" x14ac:dyDescent="0.25">
      <c r="A17" s="16" t="s">
        <v>30</v>
      </c>
      <c r="B17" s="12"/>
      <c r="C17" s="12">
        <f>COUNT(C21:C2191)</f>
        <v>3</v>
      </c>
      <c r="D17" s="16" t="s">
        <v>35</v>
      </c>
      <c r="E17" s="41" t="s">
        <v>47</v>
      </c>
      <c r="F17" s="42">
        <f ca="1">+$C$15+$C$16*$F$16-15018.5-$C$9/24</f>
        <v>45507.18590162602</v>
      </c>
    </row>
    <row r="18" spans="1:19" ht="14.25" thickTop="1" thickBot="1" x14ac:dyDescent="0.25">
      <c r="A18" s="17" t="s">
        <v>5</v>
      </c>
      <c r="B18" s="12"/>
      <c r="C18" s="19">
        <f ca="1">+C15</f>
        <v>53691.602795121958</v>
      </c>
      <c r="D18" s="20">
        <f ca="1">+C16</f>
        <v>4.6710097560975585</v>
      </c>
      <c r="E18" s="44" t="s">
        <v>48</v>
      </c>
      <c r="F18" s="43">
        <f ca="1">+($C$15+$C$16*$F$16)-($C$16/2)-15018.5-$C$9/24</f>
        <v>45504.85039674797</v>
      </c>
    </row>
    <row r="19" spans="1:19" ht="13.5" thickTop="1" x14ac:dyDescent="0.2">
      <c r="A19" s="24" t="s">
        <v>36</v>
      </c>
      <c r="E19" s="25">
        <v>22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43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9" x14ac:dyDescent="0.2">
      <c r="A21" s="26" t="s">
        <v>12</v>
      </c>
      <c r="B21" s="26"/>
      <c r="C21" s="27">
        <v>41689.08</v>
      </c>
      <c r="D21" s="34" t="s">
        <v>14</v>
      </c>
      <c r="E21" s="35">
        <f>+(C21-C$7)/C$8+0.5</f>
        <v>0.5</v>
      </c>
      <c r="F21" s="26">
        <f>ROUND(2*E21,0)/2</f>
        <v>0.5</v>
      </c>
      <c r="G21" s="26">
        <f>+C21-(C$7+F21*C$8)</f>
        <v>-2.3350349999964237</v>
      </c>
      <c r="H21" s="26">
        <f>+G21</f>
        <v>-2.3350349999964237</v>
      </c>
      <c r="I21" s="26"/>
      <c r="J21" s="26"/>
      <c r="K21" s="26"/>
      <c r="L21" s="26"/>
      <c r="M21" s="26"/>
      <c r="N21" s="26"/>
      <c r="O21" s="26">
        <f ca="1">+C$11+C$12*$F21</f>
        <v>-1.9718081707266015</v>
      </c>
      <c r="P21" s="26"/>
      <c r="Q21" s="28">
        <f>+C21-15018.5</f>
        <v>26670.58</v>
      </c>
      <c r="R21" s="26"/>
      <c r="S21" s="26"/>
    </row>
    <row r="22" spans="1:19" x14ac:dyDescent="0.2">
      <c r="A22" s="29" t="s">
        <v>40</v>
      </c>
      <c r="B22" s="30" t="s">
        <v>41</v>
      </c>
      <c r="C22" s="29">
        <v>53693.938300000002</v>
      </c>
      <c r="D22" s="32">
        <v>4.0000000000000002E-4</v>
      </c>
      <c r="E22" s="33">
        <f>+(C22-C$7)/C$8</f>
        <v>2570.5949375491159</v>
      </c>
      <c r="F22" s="26">
        <f>ROUND(2*E22,0)/2</f>
        <v>2570.5</v>
      </c>
      <c r="G22" s="26">
        <f>+C22-(C$7+F22*C$8)</f>
        <v>0.44336499999917578</v>
      </c>
      <c r="H22" s="26"/>
      <c r="I22" s="26">
        <f>+G22</f>
        <v>0.44336499999917578</v>
      </c>
      <c r="J22" s="26"/>
      <c r="K22" s="26"/>
      <c r="L22" s="26"/>
      <c r="M22" s="26"/>
      <c r="N22" s="26"/>
      <c r="O22" s="26">
        <f ca="1">+C$11+C$12*$F22</f>
        <v>0.44336499999917578</v>
      </c>
      <c r="P22" s="26"/>
      <c r="Q22" s="28">
        <f>+C22-15018.5</f>
        <v>38675.438300000002</v>
      </c>
      <c r="R22" s="26"/>
      <c r="S22" s="26"/>
    </row>
    <row r="23" spans="1:19" x14ac:dyDescent="0.2">
      <c r="A23" s="31" t="s">
        <v>42</v>
      </c>
      <c r="B23" s="26"/>
      <c r="C23" s="27">
        <v>51874.58</v>
      </c>
      <c r="D23" s="27"/>
      <c r="E23" s="26">
        <f>+(C23-C$7)/C$8</f>
        <v>2181.0165586383073</v>
      </c>
      <c r="F23" s="26">
        <f>ROUND(2*E23,0)/2</f>
        <v>2181</v>
      </c>
      <c r="G23" s="26">
        <f>+C23-(C$7+F23*C$8)</f>
        <v>7.7330000000074506E-2</v>
      </c>
      <c r="H23" s="26"/>
      <c r="I23" s="26">
        <f>+G23</f>
        <v>7.7330000000074506E-2</v>
      </c>
      <c r="J23" s="26"/>
      <c r="K23" s="26"/>
      <c r="L23" s="26"/>
      <c r="M23" s="26"/>
      <c r="N23" s="26"/>
      <c r="O23" s="26">
        <f ca="1">+C$11+C$12*$F23</f>
        <v>7.7330000000074506E-2</v>
      </c>
      <c r="P23" s="26"/>
      <c r="Q23" s="28">
        <f>+C23-15018.5</f>
        <v>36856.080000000002</v>
      </c>
      <c r="R23" s="26"/>
      <c r="S23" s="26"/>
    </row>
    <row r="24" spans="1:19" x14ac:dyDescent="0.2">
      <c r="A24" s="26"/>
      <c r="B24" s="26"/>
      <c r="C24" s="27"/>
      <c r="D24" s="27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8"/>
      <c r="R24" s="26"/>
      <c r="S24" s="26"/>
    </row>
    <row r="25" spans="1:19" x14ac:dyDescent="0.2">
      <c r="A25" s="26"/>
      <c r="B25" s="26"/>
      <c r="C25" s="27"/>
      <c r="D25" s="27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8"/>
      <c r="R25" s="26"/>
      <c r="S25" s="26"/>
    </row>
    <row r="26" spans="1:19" x14ac:dyDescent="0.2">
      <c r="A26" s="26"/>
      <c r="B26" s="26"/>
      <c r="C26" s="27"/>
      <c r="D26" s="27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8"/>
      <c r="R26" s="26"/>
      <c r="S26" s="26"/>
    </row>
    <row r="27" spans="1:19" x14ac:dyDescent="0.2">
      <c r="C27" s="10"/>
      <c r="D27" s="10"/>
      <c r="Q27" s="2"/>
    </row>
    <row r="28" spans="1:19" x14ac:dyDescent="0.2">
      <c r="C28" s="10"/>
      <c r="D28" s="10"/>
      <c r="Q28" s="2"/>
    </row>
    <row r="29" spans="1:19" x14ac:dyDescent="0.2">
      <c r="C29" s="10"/>
      <c r="D29" s="10"/>
      <c r="Q29" s="2"/>
    </row>
    <row r="30" spans="1:19" x14ac:dyDescent="0.2">
      <c r="C30" s="10"/>
      <c r="D30" s="10"/>
      <c r="Q30" s="2"/>
    </row>
    <row r="31" spans="1:19" x14ac:dyDescent="0.2">
      <c r="C31" s="10"/>
      <c r="D31" s="10"/>
      <c r="Q31" s="2"/>
    </row>
    <row r="32" spans="1:19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2024-07-29T07:09:29Z</dcterms:modified>
</cp:coreProperties>
</file>