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99D52D7-90EF-4EC6-BD3A-86D6F1881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4" i="1" l="1"/>
  <c r="F54" i="1" s="1"/>
  <c r="G54" i="1" s="1"/>
  <c r="K54" i="1" s="1"/>
  <c r="Q54" i="1"/>
  <c r="E55" i="1"/>
  <c r="F55" i="1"/>
  <c r="G55" i="1" s="1"/>
  <c r="K55" i="1" s="1"/>
  <c r="Q55" i="1"/>
  <c r="E53" i="1"/>
  <c r="F53" i="1" s="1"/>
  <c r="G53" i="1" s="1"/>
  <c r="K53" i="1" s="1"/>
  <c r="Q53" i="1"/>
  <c r="Q52" i="1"/>
  <c r="C7" i="1"/>
  <c r="E52" i="1"/>
  <c r="F52" i="1"/>
  <c r="C8" i="1"/>
  <c r="E48" i="1"/>
  <c r="F48" i="1"/>
  <c r="G48" i="1"/>
  <c r="K48" i="1"/>
  <c r="E49" i="1"/>
  <c r="F49" i="1"/>
  <c r="E26" i="1"/>
  <c r="F26" i="1"/>
  <c r="G26" i="1"/>
  <c r="J26" i="1"/>
  <c r="E28" i="1"/>
  <c r="F28" i="1"/>
  <c r="G28" i="1"/>
  <c r="J28" i="1"/>
  <c r="E34" i="1"/>
  <c r="F34" i="1"/>
  <c r="E36" i="1"/>
  <c r="F36" i="1"/>
  <c r="G36" i="1"/>
  <c r="J36" i="1"/>
  <c r="E37" i="1"/>
  <c r="F37" i="1"/>
  <c r="G37" i="1"/>
  <c r="H37" i="1"/>
  <c r="E38" i="1"/>
  <c r="F38" i="1"/>
  <c r="G38" i="1"/>
  <c r="J38" i="1"/>
  <c r="E39" i="1"/>
  <c r="F39" i="1"/>
  <c r="G39" i="1"/>
  <c r="J39" i="1"/>
  <c r="E40" i="1"/>
  <c r="F40" i="1"/>
  <c r="G40" i="1"/>
  <c r="J40" i="1"/>
  <c r="E41" i="1"/>
  <c r="F41" i="1"/>
  <c r="G41" i="1"/>
  <c r="J41" i="1"/>
  <c r="E42" i="1"/>
  <c r="F42" i="1"/>
  <c r="G42" i="1"/>
  <c r="J42" i="1"/>
  <c r="E43" i="1"/>
  <c r="F43" i="1"/>
  <c r="G43" i="1"/>
  <c r="J43" i="1"/>
  <c r="E44" i="1"/>
  <c r="F44" i="1"/>
  <c r="G44" i="1"/>
  <c r="K44" i="1"/>
  <c r="E45" i="1"/>
  <c r="F45" i="1"/>
  <c r="G45" i="1"/>
  <c r="K45" i="1"/>
  <c r="E46" i="1"/>
  <c r="F46" i="1"/>
  <c r="G46" i="1"/>
  <c r="K46" i="1"/>
  <c r="E21" i="1"/>
  <c r="F21" i="1"/>
  <c r="U21" i="1"/>
  <c r="K21" i="1"/>
  <c r="E22" i="1"/>
  <c r="F22" i="1"/>
  <c r="U22" i="1"/>
  <c r="E23" i="1"/>
  <c r="F23" i="1"/>
  <c r="E24" i="1"/>
  <c r="F24" i="1"/>
  <c r="E25" i="1"/>
  <c r="F25" i="1"/>
  <c r="U25" i="1"/>
  <c r="E27" i="1"/>
  <c r="F27" i="1"/>
  <c r="U27" i="1"/>
  <c r="E31" i="1"/>
  <c r="F31" i="1"/>
  <c r="E32" i="1"/>
  <c r="F32" i="1"/>
  <c r="E33" i="1"/>
  <c r="F33" i="1"/>
  <c r="U33" i="1"/>
  <c r="C9" i="1"/>
  <c r="D9" i="1"/>
  <c r="Q47" i="1"/>
  <c r="Q48" i="1"/>
  <c r="Q49" i="1"/>
  <c r="G18" i="2"/>
  <c r="C18" i="2"/>
  <c r="G17" i="2"/>
  <c r="C17" i="2"/>
  <c r="G21" i="2"/>
  <c r="C21" i="2"/>
  <c r="E21" i="2"/>
  <c r="G20" i="2"/>
  <c r="C20" i="2"/>
  <c r="E20" i="2"/>
  <c r="G19" i="2"/>
  <c r="C19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8" i="2"/>
  <c r="D18" i="2"/>
  <c r="B18" i="2"/>
  <c r="A18" i="2"/>
  <c r="H17" i="2"/>
  <c r="B17" i="2"/>
  <c r="D17" i="2"/>
  <c r="A17" i="2"/>
  <c r="H21" i="2"/>
  <c r="D21" i="2"/>
  <c r="B21" i="2"/>
  <c r="A21" i="2"/>
  <c r="H20" i="2"/>
  <c r="B20" i="2"/>
  <c r="D20" i="2"/>
  <c r="A20" i="2"/>
  <c r="H19" i="2"/>
  <c r="D19" i="2"/>
  <c r="B19" i="2"/>
  <c r="A19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51" i="1"/>
  <c r="U31" i="1"/>
  <c r="U32" i="1"/>
  <c r="Q45" i="1"/>
  <c r="Q50" i="1"/>
  <c r="F16" i="1"/>
  <c r="C17" i="1"/>
  <c r="Q46" i="1"/>
  <c r="U23" i="1"/>
  <c r="U24" i="1"/>
  <c r="K24" i="1"/>
  <c r="Q44" i="1"/>
  <c r="Q26" i="1"/>
  <c r="Q43" i="1"/>
  <c r="Q42" i="1"/>
  <c r="Q41" i="1"/>
  <c r="Q40" i="1"/>
  <c r="Q39" i="1"/>
  <c r="Q38" i="1"/>
  <c r="Q36" i="1"/>
  <c r="Q35" i="1"/>
  <c r="Q34" i="1"/>
  <c r="Q30" i="1"/>
  <c r="Q29" i="1"/>
  <c r="Q28" i="1"/>
  <c r="Q27" i="1"/>
  <c r="Q25" i="1"/>
  <c r="Q24" i="1"/>
  <c r="Q23" i="1"/>
  <c r="Q22" i="1"/>
  <c r="Q21" i="1"/>
  <c r="Q31" i="1"/>
  <c r="Q32" i="1"/>
  <c r="Q33" i="1"/>
  <c r="Q37" i="1"/>
  <c r="E17" i="2"/>
  <c r="E18" i="2"/>
  <c r="E30" i="1"/>
  <c r="F30" i="1"/>
  <c r="G30" i="1"/>
  <c r="J30" i="1"/>
  <c r="E51" i="1"/>
  <c r="F51" i="1"/>
  <c r="G51" i="1"/>
  <c r="K51" i="1"/>
  <c r="E35" i="1"/>
  <c r="F35" i="1"/>
  <c r="G35" i="1"/>
  <c r="J35" i="1"/>
  <c r="G49" i="1"/>
  <c r="K49" i="1"/>
  <c r="G34" i="1"/>
  <c r="J34" i="1"/>
  <c r="E29" i="1"/>
  <c r="F29" i="1"/>
  <c r="G29" i="1"/>
  <c r="E47" i="1"/>
  <c r="F47" i="1"/>
  <c r="G47" i="1"/>
  <c r="K47" i="1"/>
  <c r="G50" i="1"/>
  <c r="K50" i="1"/>
  <c r="G52" i="1"/>
  <c r="K52" i="1"/>
  <c r="E50" i="1"/>
  <c r="F50" i="1"/>
  <c r="J29" i="1"/>
  <c r="E19" i="2"/>
  <c r="C12" i="1"/>
  <c r="C11" i="1"/>
  <c r="O55" i="1" l="1"/>
  <c r="O54" i="1"/>
  <c r="O53" i="1"/>
  <c r="C16" i="1"/>
  <c r="D18" i="1" s="1"/>
  <c r="O45" i="1"/>
  <c r="O49" i="1"/>
  <c r="O23" i="1"/>
  <c r="O31" i="1"/>
  <c r="O39" i="1"/>
  <c r="O40" i="1"/>
  <c r="O30" i="1"/>
  <c r="O26" i="1"/>
  <c r="O50" i="1"/>
  <c r="O47" i="1"/>
  <c r="O32" i="1"/>
  <c r="C15" i="1"/>
  <c r="O46" i="1"/>
  <c r="O35" i="1"/>
  <c r="O43" i="1"/>
  <c r="O42" i="1"/>
  <c r="O44" i="1"/>
  <c r="O52" i="1"/>
  <c r="O38" i="1"/>
  <c r="O48" i="1"/>
  <c r="O41" i="1"/>
  <c r="O36" i="1"/>
  <c r="O25" i="1"/>
  <c r="O22" i="1"/>
  <c r="O34" i="1"/>
  <c r="O27" i="1"/>
  <c r="O21" i="1"/>
  <c r="O51" i="1"/>
  <c r="O33" i="1"/>
  <c r="O37" i="1"/>
  <c r="O24" i="1"/>
  <c r="O28" i="1"/>
  <c r="O29" i="1"/>
  <c r="F17" i="1"/>
  <c r="C18" i="1" l="1"/>
  <c r="F18" i="1"/>
  <c r="F19" i="1" s="1"/>
</calcChain>
</file>

<file path=xl/sharedStrings.xml><?xml version="1.0" encoding="utf-8"?>
<sst xmlns="http://schemas.openxmlformats.org/spreadsheetml/2006/main" count="223" uniqueCount="133">
  <si>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</si>
  <si>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</si>
  <si>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</si>
  <si>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</si>
  <si>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</si>
  <si>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</si>
  <si>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</si>
  <si>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</si>
  <si>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</si>
  <si>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</si>
  <si>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</si>
  <si>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</si>
  <si>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</si>
  <si>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</si>
  <si>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</si>
  <si>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</si>
  <si>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</si>
  <si>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</si>
  <si>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</si>
  <si>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</si>
  <si>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</si>
  <si>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</si>
  <si>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</si>
  <si>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</si>
  <si>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</si>
  <si>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</si>
  <si>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</si>
  <si>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</si>
  <si>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</si>
  <si>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K</t>
  </si>
  <si>
    <t>Locher K</t>
  </si>
  <si>
    <t>BBSAG Bull.9</t>
  </si>
  <si>
    <t>B</t>
  </si>
  <si>
    <t>BBSAG Bull.13</t>
  </si>
  <si>
    <t>BBSAG Bull.14</t>
  </si>
  <si>
    <t>I</t>
  </si>
  <si>
    <t>II</t>
  </si>
  <si>
    <t>Andersen</t>
  </si>
  <si>
    <t>Andersen, 1984A&amp;A…137..281A</t>
  </si>
  <si>
    <t>IBVS 5583</t>
  </si>
  <si>
    <t>EA/D</t>
  </si>
  <si>
    <t xml:space="preserve">DM Vir / GSC 05558-01683 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</si>
  <si>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</si>
  <si>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</si>
  <si>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</si>
  <si>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</si>
  <si>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</si>
  <si>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</si>
  <si>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</si>
  <si>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</si>
  <si>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Add cycle</t>
  </si>
  <si>
    <t>Old Cycle</t>
  </si>
  <si>
    <t>IBVS 5690</t>
  </si>
  <si>
    <t>IBVS 5992</t>
  </si>
  <si>
    <t>BAD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</si>
  <si>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</si>
  <si>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</si>
  <si>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</si>
  <si>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</si>
  <si>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</si>
  <si>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</si>
  <si>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</si>
  <si>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</si>
  <si>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</si>
  <si>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</si>
  <si>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</si>
  <si>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</si>
  <si>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2441795.470 </t>
  </si>
  <si>
    <t> 22.04.1973 23:16 </t>
  </si>
  <si>
    <t> -0.018 </t>
  </si>
  <si>
    <t>V </t>
  </si>
  <si>
    <t> K.Locher </t>
  </si>
  <si>
    <t> BBS 9 </t>
  </si>
  <si>
    <t>2442075.661 </t>
  </si>
  <si>
    <t> 28.01.1974 03:51 </t>
  </si>
  <si>
    <t> 0.007 </t>
  </si>
  <si>
    <t> BBS 13 </t>
  </si>
  <si>
    <t>2442131.654 </t>
  </si>
  <si>
    <t> 25.03.1974 03:41 </t>
  </si>
  <si>
    <t> -0.033 </t>
  </si>
  <si>
    <t> BBS 14 </t>
  </si>
  <si>
    <t>2452684.6051 </t>
  </si>
  <si>
    <t> 14.02.2003 02:31 </t>
  </si>
  <si>
    <t> -0.0018 </t>
  </si>
  <si>
    <t>E </t>
  </si>
  <si>
    <t>R</t>
  </si>
  <si>
    <t> M.Zejda </t>
  </si>
  <si>
    <t>IBVS 5583 </t>
  </si>
  <si>
    <t>2453508.7609 </t>
  </si>
  <si>
    <t> 18.05.2005 06:15 </t>
  </si>
  <si>
    <t> -0.0010 </t>
  </si>
  <si>
    <t>?</t>
  </si>
  <si>
    <t> T. Krajci </t>
  </si>
  <si>
    <t>IBVS 5690 </t>
  </si>
  <si>
    <t>2453515.7677 </t>
  </si>
  <si>
    <t> 25.05.2005 06:25 </t>
  </si>
  <si>
    <t> 0.0016 </t>
  </si>
  <si>
    <t>C </t>
  </si>
  <si>
    <t>-I</t>
  </si>
  <si>
    <t> W.Ogloza et al. </t>
  </si>
  <si>
    <t>IBVS 5843 </t>
  </si>
  <si>
    <t>2453879.9798 </t>
  </si>
  <si>
    <t> 24.05.2006 11:30 </t>
  </si>
  <si>
    <t>2205</t>
  </si>
  <si>
    <t> -0.0021 </t>
  </si>
  <si>
    <t> K. Nagai et al. </t>
  </si>
  <si>
    <t>VSB 45 </t>
  </si>
  <si>
    <t>2453907.9972 </t>
  </si>
  <si>
    <t> 21.06.2006 11:55 </t>
  </si>
  <si>
    <t>2211</t>
  </si>
  <si>
    <t> -0.0013 </t>
  </si>
  <si>
    <t>2453919.6710 </t>
  </si>
  <si>
    <t> 03.07.2006 04:06 </t>
  </si>
  <si>
    <t>2213.5</t>
  </si>
  <si>
    <t> -0.0011 </t>
  </si>
  <si>
    <t>o</t>
  </si>
  <si>
    <t> T.Krajci </t>
  </si>
  <si>
    <t>IBVS 5806 </t>
  </si>
  <si>
    <t>2455677.7111 </t>
  </si>
  <si>
    <t> 26.04.2011 05:03 </t>
  </si>
  <si>
    <t>2590</t>
  </si>
  <si>
    <t> -0.0027 </t>
  </si>
  <si>
    <t> R.Diethelm </t>
  </si>
  <si>
    <t>IBVS 5992 </t>
  </si>
  <si>
    <t>2456013.9123 </t>
  </si>
  <si>
    <t> 27.03.2012 09:53 </t>
  </si>
  <si>
    <t>2662</t>
  </si>
  <si>
    <t> -0.0007 </t>
  </si>
  <si>
    <t>IBVS 6029 </t>
  </si>
  <si>
    <t>IBVS 0118</t>
  </si>
  <si>
    <t>OEJV 0181</t>
  </si>
  <si>
    <t>JAAVSO 51, 138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</si>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</sst>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1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42" applyFont="1"/>
    <xf numFmtId="0" fontId="19" fillId="0" borderId="0" xfId="42" applyFont="1" applyAlignment="1">
      <alignment horizontal="center"/>
    </xf>
    <xf numFmtId="0" fontId="19" fillId="0" borderId="0" xfId="42" applyFont="1" applyAlignment="1">
      <alignment horizontal="left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14" fontId="8" fillId="0" borderId="0" xfId="0" applyNumberFormat="1" applyFont="1" applyAlignment="1"/>
    <xf numFmtId="0" fontId="9" fillId="0" borderId="0" xfId="42" applyFont="1" applyAlignment="1">
      <alignment horizontal="left"/>
    </xf>
    <xf numFmtId="43" fontId="35" fillId="0" borderId="0" xfId="48" applyFont="1" applyBorder="1"/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5" fontId="35" fillId="0" borderId="0" xfId="0" applyNumberFormat="1" applyFont="1" applyAlignment="1" applyProtection="1">
      <alignment horizontal="left"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 Vir - O-C Diagr.</a:t>
            </a:r>
          </a:p>
        </c:rich>
      </c:tx>
      <c:layout>
        <c:manualLayout>
          <c:xMode val="edge"/>
          <c:yMode val="edge"/>
          <c:x val="0.381107491856677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6579804560262"/>
          <c:y val="0.14723926380368099"/>
          <c:w val="0.7996742671009772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9D-4FBA-9E37-8961DDCC47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9D-4FBA-9E37-8961DDCC47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">
                  <c:v>-4.288000003725756E-3</c:v>
                </c:pt>
                <c:pt idx="7">
                  <c:v>1.317000002018176E-3</c:v>
                </c:pt>
                <c:pt idx="8">
                  <c:v>5.192500029806979E-4</c:v>
                </c:pt>
                <c:pt idx="9">
                  <c:v>9.1875000362051651E-4</c:v>
                </c:pt>
                <c:pt idx="13">
                  <c:v>-2.8250004106666893E-5</c:v>
                </c:pt>
                <c:pt idx="14">
                  <c:v>-6.8974999885540456E-4</c:v>
                </c:pt>
                <c:pt idx="15">
                  <c:v>-3.0000002880115062E-5</c:v>
                </c:pt>
                <c:pt idx="17">
                  <c:v>7.9500001447740942E-5</c:v>
                </c:pt>
                <c:pt idx="18">
                  <c:v>-2.7475000388221815E-4</c:v>
                </c:pt>
                <c:pt idx="19">
                  <c:v>-6.5000007452908903E-5</c:v>
                </c:pt>
                <c:pt idx="20">
                  <c:v>1.1850000009872019E-4</c:v>
                </c:pt>
                <c:pt idx="21">
                  <c:v>-2.2250002075452358E-5</c:v>
                </c:pt>
                <c:pt idx="22">
                  <c:v>-2.332500007469207E-4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9D-4FBA-9E37-8961DDCC47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0">
                  <c:v>-3.2675500002369517E-2</c:v>
                </c:pt>
                <c:pt idx="3">
                  <c:v>-3.5292000000481494E-2</c:v>
                </c:pt>
                <c:pt idx="23">
                  <c:v>-1.7914999989443459E-3</c:v>
                </c:pt>
                <c:pt idx="24">
                  <c:v>-1.0042499998235144E-3</c:v>
                </c:pt>
                <c:pt idx="25">
                  <c:v>1.6454999931738712E-3</c:v>
                </c:pt>
                <c:pt idx="26">
                  <c:v>-2.0674999977927655E-3</c:v>
                </c:pt>
                <c:pt idx="27">
                  <c:v>-1.2685000037890859E-3</c:v>
                </c:pt>
                <c:pt idx="28">
                  <c:v>-1.0522500015213154E-3</c:v>
                </c:pt>
                <c:pt idx="29">
                  <c:v>-2.6649999999790452E-3</c:v>
                </c:pt>
                <c:pt idx="30">
                  <c:v>-6.7699999635806307E-4</c:v>
                </c:pt>
                <c:pt idx="31">
                  <c:v>-4.6550000115530565E-4</c:v>
                </c:pt>
                <c:pt idx="32">
                  <c:v>-2.0932500046910718E-3</c:v>
                </c:pt>
                <c:pt idx="33">
                  <c:v>-9.2725001741200686E-4</c:v>
                </c:pt>
                <c:pt idx="34">
                  <c:v>1.9225002033635974E-3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9D-4FBA-9E37-8961DDCC47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9D-4FBA-9E37-8961DDCC47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9D-4FBA-9E37-8961DDCC47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9D-4FBA-9E37-8961DDCC47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2.0870007024779513E-4</c:v>
                </c:pt>
                <c:pt idx="1">
                  <c:v>1.9565066648794395E-4</c:v>
                </c:pt>
                <c:pt idx="2">
                  <c:v>1.7450917436304537E-4</c:v>
                </c:pt>
                <c:pt idx="3">
                  <c:v>1.6510485545231457E-4</c:v>
                </c:pt>
                <c:pt idx="4">
                  <c:v>-1.781163339408672E-4</c:v>
                </c:pt>
                <c:pt idx="5">
                  <c:v>-1.813240086080932E-4</c:v>
                </c:pt>
                <c:pt idx="6">
                  <c:v>-1.9072832751882397E-4</c:v>
                </c:pt>
                <c:pt idx="7">
                  <c:v>-2.352712643750759E-4</c:v>
                </c:pt>
                <c:pt idx="8">
                  <c:v>-2.478832579530327E-4</c:v>
                </c:pt>
                <c:pt idx="9">
                  <c:v>-2.4832066813492711E-4</c:v>
                </c:pt>
                <c:pt idx="10">
                  <c:v>-2.8178254704985285E-4</c:v>
                </c:pt>
                <c:pt idx="11">
                  <c:v>-2.9053075068774195E-4</c:v>
                </c:pt>
                <c:pt idx="12">
                  <c:v>-2.9228039141531977E-4</c:v>
                </c:pt>
                <c:pt idx="13">
                  <c:v>-3.2734610766385852E-4</c:v>
                </c:pt>
                <c:pt idx="14">
                  <c:v>-3.3740654184743097E-4</c:v>
                </c:pt>
                <c:pt idx="15">
                  <c:v>-3.376252469383782E-4</c:v>
                </c:pt>
                <c:pt idx="16">
                  <c:v>-3.376252469383782E-4</c:v>
                </c:pt>
                <c:pt idx="17">
                  <c:v>-3.3806265712027267E-4</c:v>
                </c:pt>
                <c:pt idx="18">
                  <c:v>-3.7094132245933914E-4</c:v>
                </c:pt>
                <c:pt idx="19">
                  <c:v>-3.7116002755028637E-4</c:v>
                </c:pt>
                <c:pt idx="20">
                  <c:v>-3.8267849567350697E-4</c:v>
                </c:pt>
                <c:pt idx="21">
                  <c:v>-3.8333461094634867E-4</c:v>
                </c:pt>
                <c:pt idx="22">
                  <c:v>-3.8420943131013761E-4</c:v>
                </c:pt>
                <c:pt idx="23">
                  <c:v>-6.2179606177580862E-4</c:v>
                </c:pt>
                <c:pt idx="24">
                  <c:v>-6.4753036081059907E-4</c:v>
                </c:pt>
                <c:pt idx="25">
                  <c:v>-6.4774906590154635E-4</c:v>
                </c:pt>
                <c:pt idx="26">
                  <c:v>-6.591217306308021E-4</c:v>
                </c:pt>
                <c:pt idx="27">
                  <c:v>-6.5999655099459103E-4</c:v>
                </c:pt>
                <c:pt idx="28">
                  <c:v>-6.6036105947950307E-4</c:v>
                </c:pt>
                <c:pt idx="29">
                  <c:v>-7.1525603730725705E-4</c:v>
                </c:pt>
                <c:pt idx="30">
                  <c:v>-7.2575388167272397E-4</c:v>
                </c:pt>
                <c:pt idx="31">
                  <c:v>-7.7401480507507871E-4</c:v>
                </c:pt>
                <c:pt idx="32">
                  <c:v>-8.4203208835966642E-4</c:v>
                </c:pt>
                <c:pt idx="33">
                  <c:v>-8.4261530193552564E-4</c:v>
                </c:pt>
                <c:pt idx="34">
                  <c:v>-8.4283400702647292E-4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9D-4FBA-9E37-8961DDCC473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0">
                  <c:v>-3.2675500002369517E-2</c:v>
                </c:pt>
                <c:pt idx="1">
                  <c:v>2.4026250001043081E-2</c:v>
                </c:pt>
                <c:pt idx="2">
                  <c:v>2.0168749997537816E-2</c:v>
                </c:pt>
                <c:pt idx="3">
                  <c:v>-3.5292000000481494E-2</c:v>
                </c:pt>
                <c:pt idx="4">
                  <c:v>-1.9751000007090624E-2</c:v>
                </c:pt>
                <c:pt idx="6">
                  <c:v>-2.3748750005324837E-2</c:v>
                </c:pt>
                <c:pt idx="10">
                  <c:v>-1.7969499996979721E-2</c:v>
                </c:pt>
                <c:pt idx="11">
                  <c:v>7.0205000010901131E-3</c:v>
                </c:pt>
                <c:pt idx="12">
                  <c:v>-3.3181499995407648E-2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69D-4FBA-9E37-8961DDCC4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906560"/>
        <c:axId val="1"/>
      </c:scatterChart>
      <c:valAx>
        <c:axId val="704906560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159609120521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906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00977198697068"/>
          <c:y val="0.92024539877300615"/>
          <c:w val="0.773615635179153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 Vir - O-C Diagr.</a:t>
            </a:r>
          </a:p>
        </c:rich>
      </c:tx>
      <c:layout>
        <c:manualLayout>
          <c:xMode val="edge"/>
          <c:yMode val="edge"/>
          <c:x val="0.3821145039796854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6363926517921"/>
          <c:y val="0.14678942920199375"/>
          <c:w val="0.80975738337999137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D1-437B-AADB-28B5BB285D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D1-437B-AADB-28B5BB285D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">
                  <c:v>-4.288000003725756E-3</c:v>
                </c:pt>
                <c:pt idx="7">
                  <c:v>1.317000002018176E-3</c:v>
                </c:pt>
                <c:pt idx="8">
                  <c:v>5.192500029806979E-4</c:v>
                </c:pt>
                <c:pt idx="9">
                  <c:v>9.1875000362051651E-4</c:v>
                </c:pt>
                <c:pt idx="13">
                  <c:v>-2.8250004106666893E-5</c:v>
                </c:pt>
                <c:pt idx="14">
                  <c:v>-6.8974999885540456E-4</c:v>
                </c:pt>
                <c:pt idx="15">
                  <c:v>-3.0000002880115062E-5</c:v>
                </c:pt>
                <c:pt idx="17">
                  <c:v>7.9500001447740942E-5</c:v>
                </c:pt>
                <c:pt idx="18">
                  <c:v>-2.7475000388221815E-4</c:v>
                </c:pt>
                <c:pt idx="19">
                  <c:v>-6.5000007452908903E-5</c:v>
                </c:pt>
                <c:pt idx="20">
                  <c:v>1.1850000009872019E-4</c:v>
                </c:pt>
                <c:pt idx="21">
                  <c:v>-2.2250002075452358E-5</c:v>
                </c:pt>
                <c:pt idx="22">
                  <c:v>-2.332500007469207E-4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D1-437B-AADB-28B5BB285D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0">
                  <c:v>-3.2675500002369517E-2</c:v>
                </c:pt>
                <c:pt idx="3">
                  <c:v>-3.5292000000481494E-2</c:v>
                </c:pt>
                <c:pt idx="23">
                  <c:v>-1.7914999989443459E-3</c:v>
                </c:pt>
                <c:pt idx="24">
                  <c:v>-1.0042499998235144E-3</c:v>
                </c:pt>
                <c:pt idx="25">
                  <c:v>1.6454999931738712E-3</c:v>
                </c:pt>
                <c:pt idx="26">
                  <c:v>-2.0674999977927655E-3</c:v>
                </c:pt>
                <c:pt idx="27">
                  <c:v>-1.2685000037890859E-3</c:v>
                </c:pt>
                <c:pt idx="28">
                  <c:v>-1.0522500015213154E-3</c:v>
                </c:pt>
                <c:pt idx="29">
                  <c:v>-2.6649999999790452E-3</c:v>
                </c:pt>
                <c:pt idx="30">
                  <c:v>-6.7699999635806307E-4</c:v>
                </c:pt>
                <c:pt idx="31">
                  <c:v>-4.6550000115530565E-4</c:v>
                </c:pt>
                <c:pt idx="32">
                  <c:v>-2.0932500046910718E-3</c:v>
                </c:pt>
                <c:pt idx="33">
                  <c:v>-9.2725001741200686E-4</c:v>
                </c:pt>
                <c:pt idx="34">
                  <c:v>1.9225002033635974E-3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D1-437B-AADB-28B5BB285D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D1-437B-AADB-28B5BB285D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D1-437B-AADB-28B5BB285D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7">
                    <c:v>1E-3</c:v>
                  </c:pt>
                  <c:pt idx="8">
                    <c:v>4.0000000000000002E-4</c:v>
                  </c:pt>
                  <c:pt idx="9">
                    <c:v>2.9999999999999997E-4</c:v>
                  </c:pt>
                  <c:pt idx="13">
                    <c:v>8.0000000000000007E-5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0</c:v>
                  </c:pt>
                  <c:pt idx="17">
                    <c:v>1.3999999999999999E-4</c:v>
                  </c:pt>
                  <c:pt idx="18">
                    <c:v>9.0000000000000006E-5</c:v>
                  </c:pt>
                  <c:pt idx="19">
                    <c:v>2.9999999999999997E-4</c:v>
                  </c:pt>
                  <c:pt idx="20">
                    <c:v>8.0000000000000007E-5</c:v>
                  </c:pt>
                  <c:pt idx="21">
                    <c:v>6.0000000000000002E-5</c:v>
                  </c:pt>
                  <c:pt idx="22">
                    <c:v>1E-4</c:v>
                  </c:pt>
                  <c:pt idx="23">
                    <c:v>1.6000000000000001E-3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9">
                    <c:v>6.9999999999999999E-4</c:v>
                  </c:pt>
                  <c:pt idx="30">
                    <c:v>2.9999999999999997E-4</c:v>
                  </c:pt>
                  <c:pt idx="31">
                    <c:v>3.0000000000000001E-3</c:v>
                  </c:pt>
                  <c:pt idx="32">
                    <c:v>2.3E-3</c:v>
                  </c:pt>
                  <c:pt idx="33">
                    <c:v>3.0000000000000001E-3</c:v>
                  </c:pt>
                  <c:pt idx="34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D1-437B-AADB-28B5BB285D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2.0870007024779513E-4</c:v>
                </c:pt>
                <c:pt idx="1">
                  <c:v>1.9565066648794395E-4</c:v>
                </c:pt>
                <c:pt idx="2">
                  <c:v>1.7450917436304537E-4</c:v>
                </c:pt>
                <c:pt idx="3">
                  <c:v>1.6510485545231457E-4</c:v>
                </c:pt>
                <c:pt idx="4">
                  <c:v>-1.781163339408672E-4</c:v>
                </c:pt>
                <c:pt idx="5">
                  <c:v>-1.813240086080932E-4</c:v>
                </c:pt>
                <c:pt idx="6">
                  <c:v>-1.9072832751882397E-4</c:v>
                </c:pt>
                <c:pt idx="7">
                  <c:v>-2.352712643750759E-4</c:v>
                </c:pt>
                <c:pt idx="8">
                  <c:v>-2.478832579530327E-4</c:v>
                </c:pt>
                <c:pt idx="9">
                  <c:v>-2.4832066813492711E-4</c:v>
                </c:pt>
                <c:pt idx="10">
                  <c:v>-2.8178254704985285E-4</c:v>
                </c:pt>
                <c:pt idx="11">
                  <c:v>-2.9053075068774195E-4</c:v>
                </c:pt>
                <c:pt idx="12">
                  <c:v>-2.9228039141531977E-4</c:v>
                </c:pt>
                <c:pt idx="13">
                  <c:v>-3.2734610766385852E-4</c:v>
                </c:pt>
                <c:pt idx="14">
                  <c:v>-3.3740654184743097E-4</c:v>
                </c:pt>
                <c:pt idx="15">
                  <c:v>-3.376252469383782E-4</c:v>
                </c:pt>
                <c:pt idx="16">
                  <c:v>-3.376252469383782E-4</c:v>
                </c:pt>
                <c:pt idx="17">
                  <c:v>-3.3806265712027267E-4</c:v>
                </c:pt>
                <c:pt idx="18">
                  <c:v>-3.7094132245933914E-4</c:v>
                </c:pt>
                <c:pt idx="19">
                  <c:v>-3.7116002755028637E-4</c:v>
                </c:pt>
                <c:pt idx="20">
                  <c:v>-3.8267849567350697E-4</c:v>
                </c:pt>
                <c:pt idx="21">
                  <c:v>-3.8333461094634867E-4</c:v>
                </c:pt>
                <c:pt idx="22">
                  <c:v>-3.8420943131013761E-4</c:v>
                </c:pt>
                <c:pt idx="23">
                  <c:v>-6.2179606177580862E-4</c:v>
                </c:pt>
                <c:pt idx="24">
                  <c:v>-6.4753036081059907E-4</c:v>
                </c:pt>
                <c:pt idx="25">
                  <c:v>-6.4774906590154635E-4</c:v>
                </c:pt>
                <c:pt idx="26">
                  <c:v>-6.591217306308021E-4</c:v>
                </c:pt>
                <c:pt idx="27">
                  <c:v>-6.5999655099459103E-4</c:v>
                </c:pt>
                <c:pt idx="28">
                  <c:v>-6.6036105947950307E-4</c:v>
                </c:pt>
                <c:pt idx="29">
                  <c:v>-7.1525603730725705E-4</c:v>
                </c:pt>
                <c:pt idx="30">
                  <c:v>-7.2575388167272397E-4</c:v>
                </c:pt>
                <c:pt idx="31">
                  <c:v>-7.7401480507507871E-4</c:v>
                </c:pt>
                <c:pt idx="32">
                  <c:v>-8.4203208835966642E-4</c:v>
                </c:pt>
                <c:pt idx="33">
                  <c:v>-8.4261530193552564E-4</c:v>
                </c:pt>
                <c:pt idx="34">
                  <c:v>-8.4283400702647292E-4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D1-437B-AADB-28B5BB285D4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-3747</c:v>
                </c:pt>
                <c:pt idx="1">
                  <c:v>-3657.5</c:v>
                </c:pt>
                <c:pt idx="2">
                  <c:v>-3512.5</c:v>
                </c:pt>
                <c:pt idx="3">
                  <c:v>-3448</c:v>
                </c:pt>
                <c:pt idx="4">
                  <c:v>-1094</c:v>
                </c:pt>
                <c:pt idx="5">
                  <c:v>-1072</c:v>
                </c:pt>
                <c:pt idx="6">
                  <c:v>-1007.5</c:v>
                </c:pt>
                <c:pt idx="7">
                  <c:v>-702</c:v>
                </c:pt>
                <c:pt idx="8">
                  <c:v>-615.5</c:v>
                </c:pt>
                <c:pt idx="9">
                  <c:v>-612.5</c:v>
                </c:pt>
                <c:pt idx="10">
                  <c:v>-383</c:v>
                </c:pt>
                <c:pt idx="11">
                  <c:v>-323</c:v>
                </c:pt>
                <c:pt idx="12">
                  <c:v>-311</c:v>
                </c:pt>
                <c:pt idx="13">
                  <c:v>-70.5</c:v>
                </c:pt>
                <c:pt idx="14">
                  <c:v>-1.5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228.5</c:v>
                </c:pt>
                <c:pt idx="19">
                  <c:v>230</c:v>
                </c:pt>
                <c:pt idx="20">
                  <c:v>309</c:v>
                </c:pt>
                <c:pt idx="21">
                  <c:v>313.5</c:v>
                </c:pt>
                <c:pt idx="22">
                  <c:v>319.5</c:v>
                </c:pt>
                <c:pt idx="23">
                  <c:v>1949</c:v>
                </c:pt>
                <c:pt idx="24">
                  <c:v>2125.5</c:v>
                </c:pt>
                <c:pt idx="25">
                  <c:v>2127</c:v>
                </c:pt>
                <c:pt idx="26">
                  <c:v>2205</c:v>
                </c:pt>
                <c:pt idx="27">
                  <c:v>2211</c:v>
                </c:pt>
                <c:pt idx="28">
                  <c:v>2213.5</c:v>
                </c:pt>
                <c:pt idx="29">
                  <c:v>2590</c:v>
                </c:pt>
                <c:pt idx="30">
                  <c:v>2662</c:v>
                </c:pt>
                <c:pt idx="31">
                  <c:v>2993</c:v>
                </c:pt>
                <c:pt idx="32">
                  <c:v>3459.5</c:v>
                </c:pt>
                <c:pt idx="33">
                  <c:v>3463.5</c:v>
                </c:pt>
                <c:pt idx="34">
                  <c:v>3465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0">
                  <c:v>-3.2675500002369517E-2</c:v>
                </c:pt>
                <c:pt idx="1">
                  <c:v>2.4026250001043081E-2</c:v>
                </c:pt>
                <c:pt idx="2">
                  <c:v>2.0168749997537816E-2</c:v>
                </c:pt>
                <c:pt idx="3">
                  <c:v>-3.5292000000481494E-2</c:v>
                </c:pt>
                <c:pt idx="4">
                  <c:v>-1.9751000007090624E-2</c:v>
                </c:pt>
                <c:pt idx="6">
                  <c:v>-2.3748750005324837E-2</c:v>
                </c:pt>
                <c:pt idx="10">
                  <c:v>-1.7969499996979721E-2</c:v>
                </c:pt>
                <c:pt idx="11">
                  <c:v>7.0205000010901131E-3</c:v>
                </c:pt>
                <c:pt idx="12">
                  <c:v>-3.3181499995407648E-2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D1-437B-AADB-28B5BB285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912320"/>
        <c:axId val="1"/>
      </c:scatterChart>
      <c:valAx>
        <c:axId val="70491232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0410558436292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06504065040651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912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48001621748498"/>
          <c:y val="0.9204921861831491"/>
          <c:w val="0.7723589185498154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247650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66B8BCD-3717-B924-CB90-312EE5187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400051</xdr:colOff>
      <xdr:row>0</xdr:row>
      <xdr:rowOff>1</xdr:rowOff>
    </xdr:from>
    <xdr:to>
      <xdr:col>27</xdr:col>
      <xdr:colOff>57151</xdr:colOff>
      <xdr:row>18</xdr:row>
      <xdr:rowOff>19051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E2628752-5FC6-691B-E169-83DF834C7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5806" TargetMode="External"/><Relationship Id="rId5" Type="http://schemas.openxmlformats.org/officeDocument/2006/relationships/hyperlink" Target="http://vsolj.cetus-net.org/no45.pdf" TargetMode="External"/><Relationship Id="rId4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8"/>
  <sheetViews>
    <sheetView tabSelected="1"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6.285156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x14ac:dyDescent="0.2">
      <c r="A2" t="s">
        <v>24</v>
      </c>
      <c r="B2" s="10" t="s">
        <v>40</v>
      </c>
    </row>
    <row r="3" spans="1:6" ht="13.5" thickBot="1" x14ac:dyDescent="0.25"/>
    <row r="4" spans="1:6" ht="14.25" thickTop="1" thickBot="1" x14ac:dyDescent="0.25">
      <c r="A4" s="7" t="s">
        <v>0</v>
      </c>
      <c r="C4" s="3">
        <v>43583.881000000001</v>
      </c>
      <c r="D4" s="4">
        <v>4.6694335000000002</v>
      </c>
    </row>
    <row r="5" spans="1:6" ht="13.5" thickTop="1" x14ac:dyDescent="0.2">
      <c r="A5" s="11" t="s">
        <v>43</v>
      </c>
      <c r="B5" s="12"/>
      <c r="C5" s="13">
        <v>-9.5</v>
      </c>
      <c r="D5" s="12" t="s">
        <v>44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43583.881000000001</v>
      </c>
    </row>
    <row r="8" spans="1:6" x14ac:dyDescent="0.2">
      <c r="A8" t="s">
        <v>3</v>
      </c>
      <c r="C8">
        <f>+D4</f>
        <v>4.6694335000000002</v>
      </c>
    </row>
    <row r="9" spans="1:6" x14ac:dyDescent="0.2">
      <c r="A9" s="26" t="s">
        <v>48</v>
      </c>
      <c r="B9" s="27">
        <v>21</v>
      </c>
      <c r="C9" s="15" t="str">
        <f>"F"&amp;B9</f>
        <v>F21</v>
      </c>
      <c r="D9" s="16" t="str">
        <f>"G"&amp;B9</f>
        <v>G21</v>
      </c>
    </row>
    <row r="10" spans="1:6" ht="13.5" thickBot="1" x14ac:dyDescent="0.25">
      <c r="A10" s="12"/>
      <c r="B10" s="12"/>
      <c r="C10" s="6" t="s">
        <v>20</v>
      </c>
      <c r="D10" s="6" t="s">
        <v>21</v>
      </c>
      <c r="E10" s="12"/>
    </row>
    <row r="11" spans="1:6" x14ac:dyDescent="0.2">
      <c r="A11" s="12" t="s">
        <v>16</v>
      </c>
      <c r="B11" s="12"/>
      <c r="C11" s="14">
        <f ca="1">INTERCEPT(INDIRECT($D$9):G992,INDIRECT($C$9):F992)</f>
        <v>-3.376252469383782E-4</v>
      </c>
      <c r="D11" s="5"/>
      <c r="E11" s="12"/>
    </row>
    <row r="12" spans="1:6" x14ac:dyDescent="0.2">
      <c r="A12" s="12" t="s">
        <v>17</v>
      </c>
      <c r="B12" s="12"/>
      <c r="C12" s="14">
        <f ca="1">SLOPE(INDIRECT($D$9):G992,INDIRECT($C$9):F992)</f>
        <v>-1.4580339396481809E-7</v>
      </c>
      <c r="D12" s="5"/>
      <c r="E12" s="12"/>
    </row>
    <row r="13" spans="1:6" x14ac:dyDescent="0.2">
      <c r="A13" s="12" t="s">
        <v>19</v>
      </c>
      <c r="B13" s="12"/>
      <c r="C13" s="5" t="s">
        <v>14</v>
      </c>
    </row>
    <row r="14" spans="1:6" x14ac:dyDescent="0.2">
      <c r="A14" s="12"/>
      <c r="B14" s="12"/>
      <c r="C14" s="12"/>
    </row>
    <row r="15" spans="1:6" x14ac:dyDescent="0.2">
      <c r="A15" s="17" t="s">
        <v>18</v>
      </c>
      <c r="B15" s="12"/>
      <c r="C15" s="18">
        <f ca="1">(C7+C11)+(C8+C12)*INT(MAX(F21:F3533))</f>
        <v>59763.467234665994</v>
      </c>
      <c r="E15" s="19" t="s">
        <v>50</v>
      </c>
      <c r="F15" s="13">
        <v>1</v>
      </c>
    </row>
    <row r="16" spans="1:6" x14ac:dyDescent="0.2">
      <c r="A16" s="21" t="s">
        <v>4</v>
      </c>
      <c r="B16" s="12"/>
      <c r="C16" s="22">
        <f ca="1">+C8+C12</f>
        <v>4.669433354196606</v>
      </c>
      <c r="E16" s="19" t="s">
        <v>45</v>
      </c>
      <c r="F16" s="20">
        <f ca="1">NOW()+15018.5+$C$5/24</f>
        <v>60378.781830555556</v>
      </c>
    </row>
    <row r="17" spans="1:31" ht="13.5" thickBot="1" x14ac:dyDescent="0.25">
      <c r="A17" s="19" t="s">
        <v>42</v>
      </c>
      <c r="B17" s="12"/>
      <c r="C17" s="12">
        <f>COUNT(C21:C2191)</f>
        <v>35</v>
      </c>
      <c r="E17" s="19" t="s">
        <v>51</v>
      </c>
      <c r="F17" s="20">
        <f ca="1">ROUND(2*(F16-$C$7)/$C$8,0)/2+F15</f>
        <v>3598</v>
      </c>
    </row>
    <row r="18" spans="1:31" ht="14.25" thickTop="1" thickBot="1" x14ac:dyDescent="0.25">
      <c r="A18" s="21" t="s">
        <v>5</v>
      </c>
      <c r="B18" s="12"/>
      <c r="C18" s="24">
        <f ca="1">+C15</f>
        <v>59763.467234665994</v>
      </c>
      <c r="D18" s="25">
        <f ca="1">+C16</f>
        <v>4.669433354196606</v>
      </c>
      <c r="E18" s="19" t="s">
        <v>46</v>
      </c>
      <c r="F18" s="16">
        <f ca="1">ROUND(2*(F16-$C$15)/$C$16,0)/2+F15</f>
        <v>133</v>
      </c>
    </row>
    <row r="19" spans="1:31" ht="13.5" thickTop="1" x14ac:dyDescent="0.2">
      <c r="E19" s="19" t="s">
        <v>47</v>
      </c>
      <c r="F19" s="23">
        <f ca="1">+$C$15+$C$16*F18-15018.5-$C$5/24</f>
        <v>45366.397704107476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63</v>
      </c>
      <c r="I20" s="9" t="s">
        <v>66</v>
      </c>
      <c r="J20" s="9" t="s">
        <v>60</v>
      </c>
      <c r="K20" s="9" t="s">
        <v>58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33" t="s">
        <v>54</v>
      </c>
    </row>
    <row r="21" spans="1:31" x14ac:dyDescent="0.2">
      <c r="A21" s="28" t="s">
        <v>37</v>
      </c>
      <c r="B21" s="29" t="s">
        <v>35</v>
      </c>
      <c r="C21" s="30">
        <v>26087.481</v>
      </c>
      <c r="D21" s="30"/>
      <c r="E21" s="28">
        <f t="shared" ref="E21:E51" si="0">+(C21-C$7)/C$8</f>
        <v>-3747.0069977439448</v>
      </c>
      <c r="F21" s="28">
        <f t="shared" ref="F21:F52" si="1">ROUND(2*E21,0)/2</f>
        <v>-3747</v>
      </c>
      <c r="K21">
        <f>U21</f>
        <v>-3.2675500002369517E-2</v>
      </c>
      <c r="O21">
        <f t="shared" ref="O21:O51" ca="1" si="2">+C$11+C$12*F21</f>
        <v>2.0870007024779513E-4</v>
      </c>
      <c r="Q21" s="2">
        <f t="shared" ref="Q21:Q51" si="3">+C21-15018.5</f>
        <v>11068.981</v>
      </c>
      <c r="S21" t="s">
        <v>38</v>
      </c>
      <c r="U21" s="28">
        <f>+C21-(C$7+F21*C$8)</f>
        <v>-3.2675500002369517E-2</v>
      </c>
    </row>
    <row r="22" spans="1:31" x14ac:dyDescent="0.2">
      <c r="A22" s="28" t="s">
        <v>37</v>
      </c>
      <c r="B22" s="29" t="s">
        <v>36</v>
      </c>
      <c r="C22" s="30">
        <v>26505.452000000001</v>
      </c>
      <c r="D22" s="30"/>
      <c r="E22" s="28">
        <f t="shared" si="0"/>
        <v>-3657.4948545685465</v>
      </c>
      <c r="F22" s="28">
        <f t="shared" si="1"/>
        <v>-3657.5</v>
      </c>
      <c r="O22">
        <f t="shared" ca="1" si="2"/>
        <v>1.9565066648794395E-4</v>
      </c>
      <c r="Q22" s="2">
        <f t="shared" si="3"/>
        <v>11486.952000000001</v>
      </c>
      <c r="U22" s="28">
        <f>+C22-(C$7+F22*C$8)</f>
        <v>2.4026250001043081E-2</v>
      </c>
    </row>
    <row r="23" spans="1:31" x14ac:dyDescent="0.2">
      <c r="A23" s="28" t="s">
        <v>37</v>
      </c>
      <c r="B23" s="29" t="s">
        <v>36</v>
      </c>
      <c r="C23" s="30">
        <v>27182.516</v>
      </c>
      <c r="D23" s="30"/>
      <c r="E23" s="28">
        <f t="shared" si="0"/>
        <v>-3512.4956806858909</v>
      </c>
      <c r="F23" s="28">
        <f t="shared" si="1"/>
        <v>-3512.5</v>
      </c>
      <c r="O23">
        <f t="shared" ca="1" si="2"/>
        <v>1.7450917436304537E-4</v>
      </c>
      <c r="Q23" s="2">
        <f t="shared" si="3"/>
        <v>12164.016</v>
      </c>
      <c r="U23" s="28">
        <f>+C23-(C$7+F23*C$8)</f>
        <v>2.0168749997537816E-2</v>
      </c>
    </row>
    <row r="24" spans="1:31" x14ac:dyDescent="0.2">
      <c r="A24" s="28" t="s">
        <v>37</v>
      </c>
      <c r="B24" s="29" t="s">
        <v>35</v>
      </c>
      <c r="C24" s="30">
        <v>27483.638999999999</v>
      </c>
      <c r="D24" s="30"/>
      <c r="E24" s="28">
        <f t="shared" si="0"/>
        <v>-3448.0075580902912</v>
      </c>
      <c r="F24" s="28">
        <f t="shared" si="1"/>
        <v>-3448</v>
      </c>
      <c r="K24">
        <f>U24</f>
        <v>-3.5292000000481494E-2</v>
      </c>
      <c r="O24">
        <f t="shared" ca="1" si="2"/>
        <v>1.6510485545231457E-4</v>
      </c>
      <c r="Q24" s="2">
        <f t="shared" si="3"/>
        <v>12465.138999999999</v>
      </c>
      <c r="U24" s="28">
        <f>+C24-(C$7+F24*C$8)</f>
        <v>-3.5292000000481494E-2</v>
      </c>
    </row>
    <row r="25" spans="1:31" x14ac:dyDescent="0.2">
      <c r="A25" s="28" t="s">
        <v>37</v>
      </c>
      <c r="B25" s="29" t="s">
        <v>35</v>
      </c>
      <c r="C25" s="30">
        <v>38475.500999999997</v>
      </c>
      <c r="D25" s="30"/>
      <c r="E25" s="28">
        <f t="shared" si="0"/>
        <v>-1094.0042298492963</v>
      </c>
      <c r="F25" s="28">
        <f t="shared" si="1"/>
        <v>-1094</v>
      </c>
      <c r="O25">
        <f t="shared" ca="1" si="2"/>
        <v>-1.781163339408672E-4</v>
      </c>
      <c r="Q25" s="2">
        <f t="shared" si="3"/>
        <v>23457.000999999997</v>
      </c>
      <c r="U25" s="28">
        <f>+C25-(C$7+F25*C$8)</f>
        <v>-1.9751000007090624E-2</v>
      </c>
    </row>
    <row r="26" spans="1:31" x14ac:dyDescent="0.2">
      <c r="A26" s="28" t="s">
        <v>129</v>
      </c>
      <c r="B26" s="29"/>
      <c r="C26" s="30">
        <v>38578.243999999999</v>
      </c>
      <c r="D26" s="30"/>
      <c r="E26" s="28">
        <f t="shared" si="0"/>
        <v>-1072.0009183126822</v>
      </c>
      <c r="F26" s="28">
        <f t="shared" si="1"/>
        <v>-1072</v>
      </c>
      <c r="G26" s="28">
        <f>+C26-(C$7+F26*C$8)</f>
        <v>-4.288000003725756E-3</v>
      </c>
      <c r="J26">
        <f>+G26</f>
        <v>-4.288000003725756E-3</v>
      </c>
      <c r="O26">
        <f t="shared" ca="1" si="2"/>
        <v>-1.813240086080932E-4</v>
      </c>
      <c r="Q26" s="2">
        <f t="shared" si="3"/>
        <v>23559.743999999999</v>
      </c>
      <c r="AA26" t="s">
        <v>28</v>
      </c>
      <c r="AE26" t="s">
        <v>29</v>
      </c>
    </row>
    <row r="27" spans="1:31" x14ac:dyDescent="0.2">
      <c r="A27" s="28" t="s">
        <v>37</v>
      </c>
      <c r="B27" s="29" t="s">
        <v>36</v>
      </c>
      <c r="C27" s="30">
        <v>38879.402999999998</v>
      </c>
      <c r="D27" s="30"/>
      <c r="E27" s="28">
        <f t="shared" si="0"/>
        <v>-1007.5050860024032</v>
      </c>
      <c r="F27" s="28">
        <f t="shared" si="1"/>
        <v>-1007.5</v>
      </c>
      <c r="O27">
        <f t="shared" ca="1" si="2"/>
        <v>-1.9072832751882397E-4</v>
      </c>
      <c r="Q27" s="2">
        <f t="shared" si="3"/>
        <v>23860.902999999998</v>
      </c>
      <c r="U27" s="28">
        <f>+C27-(C$7+F27*C$8)</f>
        <v>-2.3748750005324837E-2</v>
      </c>
    </row>
    <row r="28" spans="1:31" x14ac:dyDescent="0.2">
      <c r="A28" s="28" t="s">
        <v>37</v>
      </c>
      <c r="B28" s="29" t="s">
        <v>35</v>
      </c>
      <c r="C28" s="30">
        <v>40305.94</v>
      </c>
      <c r="D28" s="30">
        <v>1E-3</v>
      </c>
      <c r="E28" s="28">
        <f t="shared" si="0"/>
        <v>-701.99971795293766</v>
      </c>
      <c r="F28" s="28">
        <f t="shared" si="1"/>
        <v>-702</v>
      </c>
      <c r="G28" s="28">
        <f>+C28-(C$7+F28*C$8)</f>
        <v>1.317000002018176E-3</v>
      </c>
      <c r="J28">
        <f>G28</f>
        <v>1.317000002018176E-3</v>
      </c>
      <c r="O28">
        <f t="shared" ca="1" si="2"/>
        <v>-2.352712643750759E-4</v>
      </c>
      <c r="Q28" s="2">
        <f t="shared" si="3"/>
        <v>25287.440000000002</v>
      </c>
    </row>
    <row r="29" spans="1:31" x14ac:dyDescent="0.2">
      <c r="A29" s="28" t="s">
        <v>37</v>
      </c>
      <c r="B29" s="29" t="s">
        <v>36</v>
      </c>
      <c r="C29" s="30">
        <v>40709.845200000003</v>
      </c>
      <c r="D29" s="30">
        <v>4.0000000000000002E-4</v>
      </c>
      <c r="E29" s="28">
        <f t="shared" si="0"/>
        <v>-615.49988879807324</v>
      </c>
      <c r="F29" s="28">
        <f t="shared" si="1"/>
        <v>-615.5</v>
      </c>
      <c r="G29" s="28">
        <f>+C29-(C$7+F29*C$8)</f>
        <v>5.192500029806979E-4</v>
      </c>
      <c r="J29">
        <f>G29</f>
        <v>5.192500029806979E-4</v>
      </c>
      <c r="O29">
        <f t="shared" ca="1" si="2"/>
        <v>-2.478832579530327E-4</v>
      </c>
      <c r="Q29" s="2">
        <f t="shared" si="3"/>
        <v>25691.345200000003</v>
      </c>
    </row>
    <row r="30" spans="1:31" x14ac:dyDescent="0.2">
      <c r="A30" s="28" t="s">
        <v>37</v>
      </c>
      <c r="B30" s="29" t="s">
        <v>36</v>
      </c>
      <c r="C30" s="30">
        <v>40723.853900000002</v>
      </c>
      <c r="D30" s="30">
        <v>2.9999999999999997E-4</v>
      </c>
      <c r="E30" s="28">
        <f t="shared" si="0"/>
        <v>-612.49980324165642</v>
      </c>
      <c r="F30" s="28">
        <f t="shared" si="1"/>
        <v>-612.5</v>
      </c>
      <c r="G30" s="28">
        <f>+C30-(C$7+F30*C$8)</f>
        <v>9.1875000362051651E-4</v>
      </c>
      <c r="J30">
        <f>G30</f>
        <v>9.1875000362051651E-4</v>
      </c>
      <c r="O30">
        <f t="shared" ca="1" si="2"/>
        <v>-2.4832066813492711E-4</v>
      </c>
      <c r="Q30" s="2">
        <f t="shared" si="3"/>
        <v>25705.353900000002</v>
      </c>
    </row>
    <row r="31" spans="1:31" x14ac:dyDescent="0.2">
      <c r="A31" s="28" t="s">
        <v>31</v>
      </c>
      <c r="B31" s="29"/>
      <c r="C31" s="30">
        <v>41795.47</v>
      </c>
      <c r="D31" s="30"/>
      <c r="E31" s="28">
        <f t="shared" si="0"/>
        <v>-383.00384832549815</v>
      </c>
      <c r="F31" s="28">
        <f t="shared" si="1"/>
        <v>-383</v>
      </c>
      <c r="O31">
        <f t="shared" ca="1" si="2"/>
        <v>-2.8178254704985285E-4</v>
      </c>
      <c r="Q31" s="2">
        <f t="shared" si="3"/>
        <v>26776.97</v>
      </c>
      <c r="U31" s="28">
        <f>+C31-(C$7+F31*C$8)</f>
        <v>-1.7969499996979721E-2</v>
      </c>
      <c r="AA31" t="s">
        <v>28</v>
      </c>
      <c r="AB31">
        <v>11</v>
      </c>
      <c r="AC31" t="s">
        <v>30</v>
      </c>
      <c r="AE31" t="s">
        <v>32</v>
      </c>
    </row>
    <row r="32" spans="1:31" x14ac:dyDescent="0.2">
      <c r="A32" s="28" t="s">
        <v>33</v>
      </c>
      <c r="B32" s="29"/>
      <c r="C32" s="30">
        <v>42075.661</v>
      </c>
      <c r="D32" s="30"/>
      <c r="E32" s="28">
        <f t="shared" si="0"/>
        <v>-322.99849649855838</v>
      </c>
      <c r="F32" s="28">
        <f t="shared" si="1"/>
        <v>-323</v>
      </c>
      <c r="O32">
        <f t="shared" ca="1" si="2"/>
        <v>-2.9053075068774195E-4</v>
      </c>
      <c r="Q32" s="2">
        <f t="shared" si="3"/>
        <v>27057.161</v>
      </c>
      <c r="U32" s="28">
        <f>+C32-(C$7+F32*C$8)</f>
        <v>7.0205000010901131E-3</v>
      </c>
      <c r="AA32" t="s">
        <v>28</v>
      </c>
      <c r="AB32">
        <v>6</v>
      </c>
      <c r="AC32" t="s">
        <v>30</v>
      </c>
      <c r="AE32" t="s">
        <v>32</v>
      </c>
    </row>
    <row r="33" spans="1:31" x14ac:dyDescent="0.2">
      <c r="A33" s="28" t="s">
        <v>34</v>
      </c>
      <c r="B33" s="29"/>
      <c r="C33" s="30">
        <v>42131.654000000002</v>
      </c>
      <c r="D33" s="30"/>
      <c r="E33" s="28">
        <f t="shared" si="0"/>
        <v>-311.00710610826752</v>
      </c>
      <c r="F33" s="28">
        <f t="shared" si="1"/>
        <v>-311</v>
      </c>
      <c r="O33">
        <f t="shared" ca="1" si="2"/>
        <v>-2.9228039141531977E-4</v>
      </c>
      <c r="Q33" s="2">
        <f t="shared" si="3"/>
        <v>27113.154000000002</v>
      </c>
      <c r="U33" s="28">
        <f>+C33-(C$7+F33*C$8)</f>
        <v>-3.3181499995407648E-2</v>
      </c>
      <c r="AA33" t="s">
        <v>28</v>
      </c>
      <c r="AB33">
        <v>6</v>
      </c>
      <c r="AC33" t="s">
        <v>30</v>
      </c>
      <c r="AE33" t="s">
        <v>32</v>
      </c>
    </row>
    <row r="34" spans="1:31" x14ac:dyDescent="0.2">
      <c r="A34" s="28" t="s">
        <v>37</v>
      </c>
      <c r="B34" s="29" t="s">
        <v>36</v>
      </c>
      <c r="C34" s="30">
        <v>43254.68591</v>
      </c>
      <c r="D34" s="30">
        <v>8.0000000000000007E-5</v>
      </c>
      <c r="E34" s="28">
        <f t="shared" si="0"/>
        <v>-70.500006049984663</v>
      </c>
      <c r="F34" s="28">
        <f t="shared" si="1"/>
        <v>-70.5</v>
      </c>
      <c r="G34" s="28">
        <f t="shared" ref="G34:G51" si="4">+C34-(C$7+F34*C$8)</f>
        <v>-2.8250004106666893E-5</v>
      </c>
      <c r="J34">
        <f>G34</f>
        <v>-2.8250004106666893E-5</v>
      </c>
      <c r="O34">
        <f t="shared" ca="1" si="2"/>
        <v>-3.2734610766385852E-4</v>
      </c>
      <c r="Q34" s="2">
        <f t="shared" si="3"/>
        <v>28236.18591</v>
      </c>
    </row>
    <row r="35" spans="1:31" x14ac:dyDescent="0.2">
      <c r="A35" s="28" t="s">
        <v>37</v>
      </c>
      <c r="B35" s="29" t="s">
        <v>36</v>
      </c>
      <c r="C35" s="30">
        <v>43576.87616</v>
      </c>
      <c r="D35" s="30">
        <v>2.0000000000000001E-4</v>
      </c>
      <c r="E35" s="28">
        <f t="shared" si="0"/>
        <v>-1.5001477159919767</v>
      </c>
      <c r="F35" s="28">
        <f t="shared" si="1"/>
        <v>-1.5</v>
      </c>
      <c r="G35" s="28">
        <f t="shared" si="4"/>
        <v>-6.8974999885540456E-4</v>
      </c>
      <c r="J35">
        <f>G35</f>
        <v>-6.8974999885540456E-4</v>
      </c>
      <c r="O35">
        <f t="shared" ca="1" si="2"/>
        <v>-3.3740654184743097E-4</v>
      </c>
      <c r="Q35" s="2">
        <f t="shared" si="3"/>
        <v>28558.37616</v>
      </c>
    </row>
    <row r="36" spans="1:31" x14ac:dyDescent="0.2">
      <c r="A36" s="28" t="s">
        <v>37</v>
      </c>
      <c r="B36" s="29" t="s">
        <v>35</v>
      </c>
      <c r="C36" s="30">
        <v>43583.880969999998</v>
      </c>
      <c r="D36" s="30">
        <v>1E-4</v>
      </c>
      <c r="E36" s="28">
        <f t="shared" si="0"/>
        <v>-6.4247628497364961E-6</v>
      </c>
      <c r="F36" s="28">
        <f t="shared" si="1"/>
        <v>0</v>
      </c>
      <c r="G36" s="28">
        <f t="shared" si="4"/>
        <v>-3.0000002880115062E-5</v>
      </c>
      <c r="J36">
        <f>G36</f>
        <v>-3.0000002880115062E-5</v>
      </c>
      <c r="O36">
        <f t="shared" ca="1" si="2"/>
        <v>-3.376252469383782E-4</v>
      </c>
      <c r="Q36" s="2">
        <f t="shared" si="3"/>
        <v>28565.380969999998</v>
      </c>
    </row>
    <row r="37" spans="1:31" x14ac:dyDescent="0.2">
      <c r="A37" s="28" t="s">
        <v>12</v>
      </c>
      <c r="B37" s="29"/>
      <c r="C37" s="30">
        <v>43583.881000000001</v>
      </c>
      <c r="D37" s="30" t="s">
        <v>14</v>
      </c>
      <c r="E37" s="28">
        <f t="shared" si="0"/>
        <v>0</v>
      </c>
      <c r="F37" s="28">
        <f t="shared" si="1"/>
        <v>0</v>
      </c>
      <c r="G37" s="28">
        <f t="shared" si="4"/>
        <v>0</v>
      </c>
      <c r="H37">
        <f>+G37</f>
        <v>0</v>
      </c>
      <c r="O37">
        <f t="shared" ca="1" si="2"/>
        <v>-3.376252469383782E-4</v>
      </c>
      <c r="Q37" s="2">
        <f t="shared" si="3"/>
        <v>28565.381000000001</v>
      </c>
    </row>
    <row r="38" spans="1:31" x14ac:dyDescent="0.2">
      <c r="A38" s="28" t="s">
        <v>37</v>
      </c>
      <c r="B38" s="29" t="s">
        <v>35</v>
      </c>
      <c r="C38" s="30">
        <v>43597.889380000001</v>
      </c>
      <c r="D38" s="30">
        <v>1.3999999999999999E-4</v>
      </c>
      <c r="E38" s="28">
        <f t="shared" si="0"/>
        <v>3.0000170256197687</v>
      </c>
      <c r="F38" s="28">
        <f t="shared" si="1"/>
        <v>3</v>
      </c>
      <c r="G38" s="28">
        <f t="shared" si="4"/>
        <v>7.9500001447740942E-5</v>
      </c>
      <c r="J38">
        <f t="shared" ref="J38:J43" si="5">G38</f>
        <v>7.9500001447740942E-5</v>
      </c>
      <c r="O38">
        <f t="shared" ca="1" si="2"/>
        <v>-3.3806265712027267E-4</v>
      </c>
      <c r="Q38" s="2">
        <f t="shared" si="3"/>
        <v>28579.389380000001</v>
      </c>
    </row>
    <row r="39" spans="1:31" x14ac:dyDescent="0.2">
      <c r="A39" s="34" t="s">
        <v>37</v>
      </c>
      <c r="B39" s="31" t="s">
        <v>36</v>
      </c>
      <c r="C39" s="10">
        <v>44650.846279999998</v>
      </c>
      <c r="D39" s="10">
        <v>9.0000000000000006E-5</v>
      </c>
      <c r="E39" s="34">
        <f t="shared" si="0"/>
        <v>228.49994115988517</v>
      </c>
      <c r="F39" s="28">
        <f t="shared" si="1"/>
        <v>228.5</v>
      </c>
      <c r="G39" s="28">
        <f t="shared" si="4"/>
        <v>-2.7475000388221815E-4</v>
      </c>
      <c r="J39">
        <f t="shared" si="5"/>
        <v>-2.7475000388221815E-4</v>
      </c>
      <c r="O39">
        <f t="shared" ca="1" si="2"/>
        <v>-3.7094132245933914E-4</v>
      </c>
      <c r="Q39" s="2">
        <f t="shared" si="3"/>
        <v>29632.346279999998</v>
      </c>
    </row>
    <row r="40" spans="1:31" x14ac:dyDescent="0.2">
      <c r="A40" s="34" t="s">
        <v>37</v>
      </c>
      <c r="B40" s="31" t="s">
        <v>35</v>
      </c>
      <c r="C40" s="10">
        <v>44657.850639999997</v>
      </c>
      <c r="D40" s="10">
        <v>2.9999999999999997E-4</v>
      </c>
      <c r="E40" s="34">
        <f t="shared" si="0"/>
        <v>229.99998607968089</v>
      </c>
      <c r="F40" s="28">
        <f t="shared" si="1"/>
        <v>230</v>
      </c>
      <c r="G40" s="28">
        <f t="shared" si="4"/>
        <v>-6.5000007452908903E-5</v>
      </c>
      <c r="J40">
        <f t="shared" si="5"/>
        <v>-6.5000007452908903E-5</v>
      </c>
      <c r="O40">
        <f t="shared" ca="1" si="2"/>
        <v>-3.7116002755028637E-4</v>
      </c>
      <c r="Q40" s="2">
        <f t="shared" si="3"/>
        <v>29639.350639999997</v>
      </c>
    </row>
    <row r="41" spans="1:31" s="28" customFormat="1" ht="12" customHeight="1" x14ac:dyDescent="0.2">
      <c r="A41" s="34" t="s">
        <v>37</v>
      </c>
      <c r="B41" s="31" t="s">
        <v>35</v>
      </c>
      <c r="C41" s="10">
        <v>45026.736069999999</v>
      </c>
      <c r="D41" s="10">
        <v>8.0000000000000007E-5</v>
      </c>
      <c r="E41" s="34">
        <f t="shared" si="0"/>
        <v>309.00002537781035</v>
      </c>
      <c r="F41" s="28">
        <f t="shared" si="1"/>
        <v>309</v>
      </c>
      <c r="G41" s="28">
        <f t="shared" si="4"/>
        <v>1.1850000009872019E-4</v>
      </c>
      <c r="J41" s="28">
        <f t="shared" si="5"/>
        <v>1.1850000009872019E-4</v>
      </c>
      <c r="O41" s="28">
        <f t="shared" ca="1" si="2"/>
        <v>-3.8267849567350697E-4</v>
      </c>
      <c r="Q41" s="63">
        <f t="shared" si="3"/>
        <v>30008.236069999999</v>
      </c>
    </row>
    <row r="42" spans="1:31" s="28" customFormat="1" ht="12" customHeight="1" x14ac:dyDescent="0.2">
      <c r="A42" s="34" t="s">
        <v>37</v>
      </c>
      <c r="B42" s="31" t="s">
        <v>36</v>
      </c>
      <c r="C42" s="10">
        <v>45047.748379999997</v>
      </c>
      <c r="D42" s="10">
        <v>6.0000000000000002E-5</v>
      </c>
      <c r="E42" s="34">
        <f t="shared" si="0"/>
        <v>313.49999523496717</v>
      </c>
      <c r="F42" s="28">
        <f t="shared" si="1"/>
        <v>313.5</v>
      </c>
      <c r="G42" s="28">
        <f t="shared" si="4"/>
        <v>-2.2250002075452358E-5</v>
      </c>
      <c r="J42" s="28">
        <f t="shared" si="5"/>
        <v>-2.2250002075452358E-5</v>
      </c>
      <c r="O42" s="28">
        <f t="shared" ca="1" si="2"/>
        <v>-3.8333461094634867E-4</v>
      </c>
      <c r="Q42" s="63">
        <f t="shared" si="3"/>
        <v>30029.248379999997</v>
      </c>
    </row>
    <row r="43" spans="1:31" s="28" customFormat="1" ht="12" customHeight="1" x14ac:dyDescent="0.2">
      <c r="A43" s="34" t="s">
        <v>37</v>
      </c>
      <c r="B43" s="31" t="s">
        <v>36</v>
      </c>
      <c r="C43" s="10">
        <v>45075.764770000002</v>
      </c>
      <c r="D43" s="10">
        <v>1E-4</v>
      </c>
      <c r="E43" s="34">
        <f t="shared" si="0"/>
        <v>319.4999500474737</v>
      </c>
      <c r="F43" s="28">
        <f t="shared" si="1"/>
        <v>319.5</v>
      </c>
      <c r="G43" s="28">
        <f t="shared" si="4"/>
        <v>-2.332500007469207E-4</v>
      </c>
      <c r="J43" s="28">
        <f t="shared" si="5"/>
        <v>-2.332500007469207E-4</v>
      </c>
      <c r="O43" s="28">
        <f t="shared" ca="1" si="2"/>
        <v>-3.8420943131013761E-4</v>
      </c>
      <c r="Q43" s="63">
        <f t="shared" si="3"/>
        <v>30057.264770000002</v>
      </c>
    </row>
    <row r="44" spans="1:31" s="28" customFormat="1" ht="12" customHeight="1" x14ac:dyDescent="0.2">
      <c r="A44" s="35" t="s">
        <v>39</v>
      </c>
      <c r="B44" s="36" t="s">
        <v>35</v>
      </c>
      <c r="C44" s="35">
        <v>52684.605100000001</v>
      </c>
      <c r="D44" s="35">
        <v>1.6000000000000001E-3</v>
      </c>
      <c r="E44" s="34">
        <f t="shared" si="0"/>
        <v>1948.9996163346152</v>
      </c>
      <c r="F44" s="28">
        <f t="shared" si="1"/>
        <v>1949</v>
      </c>
      <c r="G44" s="28">
        <f t="shared" si="4"/>
        <v>-1.7914999989443459E-3</v>
      </c>
      <c r="K44" s="28">
        <f t="shared" ref="K44:K51" si="6">G44</f>
        <v>-1.7914999989443459E-3</v>
      </c>
      <c r="O44" s="28">
        <f t="shared" ca="1" si="2"/>
        <v>-6.2179606177580862E-4</v>
      </c>
      <c r="Q44" s="63">
        <f t="shared" si="3"/>
        <v>37666.105100000001</v>
      </c>
    </row>
    <row r="45" spans="1:31" s="28" customFormat="1" ht="12" customHeight="1" x14ac:dyDescent="0.2">
      <c r="A45" s="37" t="s">
        <v>52</v>
      </c>
      <c r="B45" s="38" t="s">
        <v>35</v>
      </c>
      <c r="C45" s="37">
        <v>53508.760900000001</v>
      </c>
      <c r="D45" s="37">
        <v>2.0000000000000001E-4</v>
      </c>
      <c r="E45" s="34">
        <f t="shared" si="0"/>
        <v>2125.4997849310839</v>
      </c>
      <c r="F45" s="28">
        <f t="shared" si="1"/>
        <v>2125.5</v>
      </c>
      <c r="G45" s="28">
        <f t="shared" si="4"/>
        <v>-1.0042499998235144E-3</v>
      </c>
      <c r="K45" s="28">
        <f t="shared" si="6"/>
        <v>-1.0042499998235144E-3</v>
      </c>
      <c r="O45" s="28">
        <f t="shared" ca="1" si="2"/>
        <v>-6.4753036081059907E-4</v>
      </c>
      <c r="Q45" s="63">
        <f t="shared" si="3"/>
        <v>38490.260900000001</v>
      </c>
    </row>
    <row r="46" spans="1:31" s="28" customFormat="1" ht="12" customHeight="1" x14ac:dyDescent="0.2">
      <c r="A46" s="32" t="s">
        <v>49</v>
      </c>
      <c r="B46" s="31" t="s">
        <v>36</v>
      </c>
      <c r="C46" s="10">
        <v>53515.767699999997</v>
      </c>
      <c r="D46" s="10">
        <v>6.9999999999999999E-4</v>
      </c>
      <c r="E46" s="34">
        <f t="shared" si="0"/>
        <v>2127.0003523982073</v>
      </c>
      <c r="F46" s="28">
        <f t="shared" si="1"/>
        <v>2127</v>
      </c>
      <c r="G46" s="28">
        <f t="shared" si="4"/>
        <v>1.6454999931738712E-3</v>
      </c>
      <c r="K46" s="28">
        <f t="shared" si="6"/>
        <v>1.6454999931738712E-3</v>
      </c>
      <c r="O46" s="28">
        <f t="shared" ca="1" si="2"/>
        <v>-6.4774906590154635E-4</v>
      </c>
      <c r="Q46" s="63">
        <f t="shared" si="3"/>
        <v>38497.267699999997</v>
      </c>
    </row>
    <row r="47" spans="1:31" s="28" customFormat="1" ht="12" customHeight="1" x14ac:dyDescent="0.2">
      <c r="A47" s="55" t="s">
        <v>106</v>
      </c>
      <c r="B47" s="56" t="s">
        <v>35</v>
      </c>
      <c r="C47" s="57">
        <v>53879.979800000001</v>
      </c>
      <c r="D47" s="10"/>
      <c r="E47" s="34">
        <f t="shared" si="0"/>
        <v>2204.9995572268026</v>
      </c>
      <c r="F47" s="28">
        <f t="shared" si="1"/>
        <v>2205</v>
      </c>
      <c r="G47" s="28">
        <f t="shared" si="4"/>
        <v>-2.0674999977927655E-3</v>
      </c>
      <c r="K47" s="28">
        <f t="shared" si="6"/>
        <v>-2.0674999977927655E-3</v>
      </c>
      <c r="O47" s="28">
        <f t="shared" ca="1" si="2"/>
        <v>-6.591217306308021E-4</v>
      </c>
      <c r="Q47" s="63">
        <f t="shared" si="3"/>
        <v>38861.479800000001</v>
      </c>
    </row>
    <row r="48" spans="1:31" s="28" customFormat="1" ht="12" customHeight="1" x14ac:dyDescent="0.2">
      <c r="A48" s="55" t="s">
        <v>106</v>
      </c>
      <c r="B48" s="56" t="s">
        <v>35</v>
      </c>
      <c r="C48" s="57">
        <v>53907.997199999998</v>
      </c>
      <c r="D48" s="10"/>
      <c r="E48" s="34">
        <f t="shared" si="0"/>
        <v>2210.999728339636</v>
      </c>
      <c r="F48" s="28">
        <f t="shared" si="1"/>
        <v>2211</v>
      </c>
      <c r="G48" s="28">
        <f t="shared" si="4"/>
        <v>-1.2685000037890859E-3</v>
      </c>
      <c r="K48" s="28">
        <f t="shared" si="6"/>
        <v>-1.2685000037890859E-3</v>
      </c>
      <c r="O48" s="28">
        <f t="shared" ca="1" si="2"/>
        <v>-6.5999655099459103E-4</v>
      </c>
      <c r="Q48" s="63">
        <f t="shared" si="3"/>
        <v>38889.497199999998</v>
      </c>
    </row>
    <row r="49" spans="1:17" s="28" customFormat="1" ht="12" customHeight="1" x14ac:dyDescent="0.2">
      <c r="A49" s="55" t="s">
        <v>117</v>
      </c>
      <c r="B49" s="56" t="s">
        <v>36</v>
      </c>
      <c r="C49" s="57">
        <v>53919.671000000002</v>
      </c>
      <c r="D49" s="10"/>
      <c r="E49" s="34">
        <f t="shared" si="0"/>
        <v>2213.4997746514646</v>
      </c>
      <c r="F49" s="28">
        <f t="shared" si="1"/>
        <v>2213.5</v>
      </c>
      <c r="G49" s="28">
        <f t="shared" si="4"/>
        <v>-1.0522500015213154E-3</v>
      </c>
      <c r="K49" s="28">
        <f t="shared" si="6"/>
        <v>-1.0522500015213154E-3</v>
      </c>
      <c r="O49" s="28">
        <f t="shared" ca="1" si="2"/>
        <v>-6.6036105947950307E-4</v>
      </c>
      <c r="Q49" s="63">
        <f t="shared" si="3"/>
        <v>38901.171000000002</v>
      </c>
    </row>
    <row r="50" spans="1:17" s="28" customFormat="1" ht="12" customHeight="1" x14ac:dyDescent="0.2">
      <c r="A50" s="37" t="s">
        <v>53</v>
      </c>
      <c r="B50" s="38" t="s">
        <v>36</v>
      </c>
      <c r="C50" s="37">
        <v>55677.7111</v>
      </c>
      <c r="D50" s="37">
        <v>6.9999999999999999E-4</v>
      </c>
      <c r="E50" s="34">
        <f t="shared" si="0"/>
        <v>2589.9994292669548</v>
      </c>
      <c r="F50" s="28">
        <f t="shared" si="1"/>
        <v>2590</v>
      </c>
      <c r="G50" s="28">
        <f t="shared" si="4"/>
        <v>-2.6649999999790452E-3</v>
      </c>
      <c r="K50" s="28">
        <f t="shared" si="6"/>
        <v>-2.6649999999790452E-3</v>
      </c>
      <c r="O50" s="28">
        <f t="shared" ca="1" si="2"/>
        <v>-7.1525603730725705E-4</v>
      </c>
      <c r="Q50" s="63">
        <f t="shared" si="3"/>
        <v>40659.2111</v>
      </c>
    </row>
    <row r="51" spans="1:17" s="28" customFormat="1" ht="12" customHeight="1" x14ac:dyDescent="0.2">
      <c r="A51" s="39" t="s">
        <v>55</v>
      </c>
      <c r="B51" s="40" t="s">
        <v>36</v>
      </c>
      <c r="C51" s="39">
        <v>56013.912300000004</v>
      </c>
      <c r="D51" s="39">
        <v>2.9999999999999997E-4</v>
      </c>
      <c r="E51" s="34">
        <f t="shared" si="0"/>
        <v>2661.9998550145328</v>
      </c>
      <c r="F51" s="28">
        <f t="shared" si="1"/>
        <v>2662</v>
      </c>
      <c r="G51" s="28">
        <f t="shared" si="4"/>
        <v>-6.7699999635806307E-4</v>
      </c>
      <c r="K51" s="28">
        <f t="shared" si="6"/>
        <v>-6.7699999635806307E-4</v>
      </c>
      <c r="O51" s="28">
        <f t="shared" ca="1" si="2"/>
        <v>-7.2575388167272397E-4</v>
      </c>
      <c r="Q51" s="63">
        <f t="shared" si="3"/>
        <v>40995.412300000004</v>
      </c>
    </row>
    <row r="52" spans="1:17" s="28" customFormat="1" ht="12" customHeight="1" x14ac:dyDescent="0.2">
      <c r="A52" s="58" t="s">
        <v>130</v>
      </c>
      <c r="B52" s="59" t="s">
        <v>35</v>
      </c>
      <c r="C52" s="60">
        <v>57559.495000000003</v>
      </c>
      <c r="D52" s="64">
        <v>3.0000000000000001E-3</v>
      </c>
      <c r="E52" s="34">
        <f>+(C52-C$7)/C$8</f>
        <v>2992.9999003091061</v>
      </c>
      <c r="F52" s="28">
        <f t="shared" si="1"/>
        <v>2993</v>
      </c>
      <c r="G52" s="28">
        <f>+C52-(C$7+F52*C$8)</f>
        <v>-4.6550000115530565E-4</v>
      </c>
      <c r="K52" s="28">
        <f>G52</f>
        <v>-4.6550000115530565E-4</v>
      </c>
      <c r="O52" s="28">
        <f ca="1">+C$11+C$12*F52</f>
        <v>-7.7401480507507871E-4</v>
      </c>
      <c r="Q52" s="63">
        <f>+C52-15018.5</f>
        <v>42540.995000000003</v>
      </c>
    </row>
    <row r="53" spans="1:17" s="28" customFormat="1" ht="12" customHeight="1" x14ac:dyDescent="0.2">
      <c r="A53" s="61" t="s">
        <v>131</v>
      </c>
      <c r="B53" s="62" t="s">
        <v>35</v>
      </c>
      <c r="C53" s="66">
        <v>59737.784099999997</v>
      </c>
      <c r="D53" s="67">
        <v>2.3E-3</v>
      </c>
      <c r="E53" s="34">
        <f>+(C53-C$7)/C$8</f>
        <v>3459.4995517122143</v>
      </c>
      <c r="F53" s="28">
        <f t="shared" ref="F53" si="7">ROUND(2*E53,0)/2</f>
        <v>3459.5</v>
      </c>
      <c r="G53" s="28">
        <f>+C53-(C$7+F53*C$8)</f>
        <v>-2.0932500046910718E-3</v>
      </c>
      <c r="K53" s="28">
        <f>G53</f>
        <v>-2.0932500046910718E-3</v>
      </c>
      <c r="O53" s="28">
        <f ca="1">+C$11+C$12*F53</f>
        <v>-8.4203208835966642E-4</v>
      </c>
      <c r="Q53" s="63">
        <f>+C53-15018.5</f>
        <v>44719.284099999997</v>
      </c>
    </row>
    <row r="54" spans="1:17" s="28" customFormat="1" ht="12" customHeight="1" x14ac:dyDescent="0.2">
      <c r="A54" s="65" t="s">
        <v>132</v>
      </c>
      <c r="B54" s="65" t="s">
        <v>36</v>
      </c>
      <c r="C54" s="68">
        <v>59756.462999999989</v>
      </c>
      <c r="D54" s="67">
        <v>3.0000000000000001E-3</v>
      </c>
      <c r="E54" s="34">
        <f t="shared" ref="E54:E55" si="8">+(C54-C$7)/C$8</f>
        <v>3463.4998014213047</v>
      </c>
      <c r="F54" s="28">
        <f t="shared" ref="F54:F55" si="9">ROUND(2*E54,0)/2</f>
        <v>3463.5</v>
      </c>
      <c r="G54" s="28">
        <f t="shared" ref="G54:G55" si="10">+C54-(C$7+F54*C$8)</f>
        <v>-9.2725001741200686E-4</v>
      </c>
      <c r="K54" s="28">
        <f>G54</f>
        <v>-9.2725001741200686E-4</v>
      </c>
      <c r="O54" s="28">
        <f t="shared" ref="O54:O55" ca="1" si="11">+C$11+C$12*F54</f>
        <v>-8.4261530193552564E-4</v>
      </c>
      <c r="Q54" s="63">
        <f t="shared" ref="Q54:Q55" si="12">+C54-15018.5</f>
        <v>44737.962999999989</v>
      </c>
    </row>
    <row r="55" spans="1:17" s="28" customFormat="1" ht="12" customHeight="1" x14ac:dyDescent="0.2">
      <c r="A55" s="65" t="s">
        <v>132</v>
      </c>
      <c r="B55" s="65" t="s">
        <v>35</v>
      </c>
      <c r="C55" s="68">
        <v>59763.470000000205</v>
      </c>
      <c r="D55" s="67">
        <v>3.0000000000000001E-3</v>
      </c>
      <c r="E55" s="34">
        <f t="shared" si="8"/>
        <v>3465.0004117202234</v>
      </c>
      <c r="F55" s="28">
        <f t="shared" si="9"/>
        <v>3465</v>
      </c>
      <c r="G55" s="28">
        <f t="shared" si="10"/>
        <v>1.9225002033635974E-3</v>
      </c>
      <c r="K55" s="28">
        <f>G55</f>
        <v>1.9225002033635974E-3</v>
      </c>
      <c r="O55" s="28">
        <f t="shared" ca="1" si="11"/>
        <v>-8.4283400702647292E-4</v>
      </c>
      <c r="Q55" s="63">
        <f t="shared" si="12"/>
        <v>44744.970000000205</v>
      </c>
    </row>
    <row r="56" spans="1:17" s="28" customFormat="1" ht="12" customHeight="1" x14ac:dyDescent="0.2">
      <c r="B56" s="29"/>
      <c r="C56" s="30"/>
      <c r="D56" s="30"/>
    </row>
    <row r="57" spans="1:17" s="28" customFormat="1" ht="12" customHeight="1" x14ac:dyDescent="0.2">
      <c r="B57" s="29"/>
      <c r="C57" s="30"/>
      <c r="D57" s="30"/>
    </row>
    <row r="58" spans="1:17" s="28" customFormat="1" ht="12" customHeight="1" x14ac:dyDescent="0.2">
      <c r="B58" s="29"/>
      <c r="C58" s="30"/>
      <c r="D58" s="30"/>
    </row>
    <row r="59" spans="1:17" s="28" customFormat="1" ht="12" customHeight="1" x14ac:dyDescent="0.2">
      <c r="B59" s="29"/>
      <c r="C59" s="30"/>
      <c r="D59" s="30"/>
    </row>
    <row r="60" spans="1:17" s="28" customFormat="1" ht="12" customHeight="1" x14ac:dyDescent="0.2">
      <c r="B60" s="29"/>
      <c r="C60" s="30"/>
      <c r="D60" s="30"/>
    </row>
    <row r="61" spans="1:17" s="28" customFormat="1" ht="12" customHeight="1" x14ac:dyDescent="0.2">
      <c r="B61" s="29"/>
      <c r="C61" s="30"/>
      <c r="D61" s="30"/>
    </row>
    <row r="62" spans="1:17" s="28" customFormat="1" ht="12" customHeight="1" x14ac:dyDescent="0.2">
      <c r="B62" s="29"/>
      <c r="C62" s="30"/>
      <c r="D62" s="30"/>
    </row>
    <row r="63" spans="1:17" s="28" customFormat="1" ht="12" customHeight="1" x14ac:dyDescent="0.2">
      <c r="B63" s="29"/>
      <c r="C63" s="30"/>
      <c r="D63" s="30"/>
    </row>
    <row r="64" spans="1:17" s="28" customFormat="1" ht="12" customHeight="1" x14ac:dyDescent="0.2">
      <c r="B64" s="29"/>
    </row>
    <row r="65" spans="2:2" s="28" customFormat="1" ht="12" customHeight="1" x14ac:dyDescent="0.2">
      <c r="B65" s="29"/>
    </row>
    <row r="66" spans="2:2" s="28" customFormat="1" ht="12" customHeight="1" x14ac:dyDescent="0.2">
      <c r="B66" s="29"/>
    </row>
    <row r="67" spans="2:2" s="28" customFormat="1" ht="12" customHeight="1" x14ac:dyDescent="0.2">
      <c r="B67" s="29"/>
    </row>
    <row r="68" spans="2:2" s="28" customFormat="1" ht="12" customHeight="1" x14ac:dyDescent="0.2">
      <c r="B68" s="2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3"/>
  <sheetViews>
    <sheetView workbookViewId="0">
      <selection activeCell="A19" sqref="A19:C21"/>
    </sheetView>
  </sheetViews>
  <sheetFormatPr defaultRowHeight="12.75" x14ac:dyDescent="0.2"/>
  <cols>
    <col min="1" max="1" width="19.7109375" style="42" customWidth="1"/>
    <col min="2" max="2" width="4.42578125" style="12" customWidth="1"/>
    <col min="3" max="3" width="12.7109375" style="42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42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1" t="s">
        <v>56</v>
      </c>
      <c r="I1" s="43" t="s">
        <v>57</v>
      </c>
      <c r="J1" s="44" t="s">
        <v>58</v>
      </c>
    </row>
    <row r="2" spans="1:16" x14ac:dyDescent="0.2">
      <c r="I2" s="45" t="s">
        <v>59</v>
      </c>
      <c r="J2" s="46" t="s">
        <v>60</v>
      </c>
    </row>
    <row r="3" spans="1:16" x14ac:dyDescent="0.2">
      <c r="A3" s="47" t="s">
        <v>61</v>
      </c>
      <c r="I3" s="45" t="s">
        <v>62</v>
      </c>
      <c r="J3" s="46" t="s">
        <v>63</v>
      </c>
    </row>
    <row r="4" spans="1:16" x14ac:dyDescent="0.2">
      <c r="I4" s="45" t="s">
        <v>64</v>
      </c>
      <c r="J4" s="46" t="s">
        <v>63</v>
      </c>
    </row>
    <row r="5" spans="1:16" ht="13.5" thickBot="1" x14ac:dyDescent="0.25">
      <c r="I5" s="48" t="s">
        <v>65</v>
      </c>
      <c r="J5" s="49" t="s">
        <v>66</v>
      </c>
    </row>
    <row r="10" spans="1:16" ht="13.5" thickBot="1" x14ac:dyDescent="0.25"/>
    <row r="11" spans="1:16" ht="12.75" customHeight="1" thickBot="1" x14ac:dyDescent="0.25">
      <c r="A11" s="42" t="str">
        <f t="shared" ref="A11:A21" si="0">P11</f>
        <v> BBS 9 </v>
      </c>
      <c r="B11" s="5" t="str">
        <f t="shared" ref="B11:B21" si="1">IF(H11=INT(H11),"I","II")</f>
        <v>I</v>
      </c>
      <c r="C11" s="42">
        <f t="shared" ref="C11:C21" si="2">1*G11</f>
        <v>41795.47</v>
      </c>
      <c r="D11" s="12" t="str">
        <f t="shared" ref="D11:D21" si="3">VLOOKUP(F11,I$1:J$5,2,FALSE)</f>
        <v>vis</v>
      </c>
      <c r="E11" s="50">
        <f>VLOOKUP(C11,Active!C$21:E$973,3,FALSE)</f>
        <v>-383.00384832549815</v>
      </c>
      <c r="F11" s="5" t="s">
        <v>65</v>
      </c>
      <c r="G11" s="12" t="str">
        <f t="shared" ref="G11:G21" si="4">MID(I11,3,LEN(I11)-3)</f>
        <v>41795.470</v>
      </c>
      <c r="H11" s="42">
        <f t="shared" ref="H11:H21" si="5">1*K11</f>
        <v>-383</v>
      </c>
      <c r="I11" s="51" t="s">
        <v>67</v>
      </c>
      <c r="J11" s="52" t="s">
        <v>68</v>
      </c>
      <c r="K11" s="51">
        <v>-383</v>
      </c>
      <c r="L11" s="51" t="s">
        <v>69</v>
      </c>
      <c r="M11" s="52" t="s">
        <v>70</v>
      </c>
      <c r="N11" s="52"/>
      <c r="O11" s="53" t="s">
        <v>71</v>
      </c>
      <c r="P11" s="53" t="s">
        <v>72</v>
      </c>
    </row>
    <row r="12" spans="1:16" ht="12.75" customHeight="1" thickBot="1" x14ac:dyDescent="0.25">
      <c r="A12" s="42" t="str">
        <f t="shared" si="0"/>
        <v> BBS 13 </v>
      </c>
      <c r="B12" s="5" t="str">
        <f t="shared" si="1"/>
        <v>I</v>
      </c>
      <c r="C12" s="42">
        <f t="shared" si="2"/>
        <v>42075.661</v>
      </c>
      <c r="D12" s="12" t="str">
        <f t="shared" si="3"/>
        <v>vis</v>
      </c>
      <c r="E12" s="50">
        <f>VLOOKUP(C12,Active!C$21:E$973,3,FALSE)</f>
        <v>-322.99849649855838</v>
      </c>
      <c r="F12" s="5" t="s">
        <v>65</v>
      </c>
      <c r="G12" s="12" t="str">
        <f t="shared" si="4"/>
        <v>42075.661</v>
      </c>
      <c r="H12" s="42">
        <f t="shared" si="5"/>
        <v>-323</v>
      </c>
      <c r="I12" s="51" t="s">
        <v>73</v>
      </c>
      <c r="J12" s="52" t="s">
        <v>74</v>
      </c>
      <c r="K12" s="51">
        <v>-323</v>
      </c>
      <c r="L12" s="51" t="s">
        <v>75</v>
      </c>
      <c r="M12" s="52" t="s">
        <v>70</v>
      </c>
      <c r="N12" s="52"/>
      <c r="O12" s="53" t="s">
        <v>71</v>
      </c>
      <c r="P12" s="53" t="s">
        <v>76</v>
      </c>
    </row>
    <row r="13" spans="1:16" ht="12.75" customHeight="1" thickBot="1" x14ac:dyDescent="0.25">
      <c r="A13" s="42" t="str">
        <f t="shared" si="0"/>
        <v> BBS 14 </v>
      </c>
      <c r="B13" s="5" t="str">
        <f t="shared" si="1"/>
        <v>I</v>
      </c>
      <c r="C13" s="42">
        <f t="shared" si="2"/>
        <v>42131.654000000002</v>
      </c>
      <c r="D13" s="12" t="str">
        <f t="shared" si="3"/>
        <v>vis</v>
      </c>
      <c r="E13" s="50">
        <f>VLOOKUP(C13,Active!C$21:E$973,3,FALSE)</f>
        <v>-311.00710610826752</v>
      </c>
      <c r="F13" s="5" t="s">
        <v>65</v>
      </c>
      <c r="G13" s="12" t="str">
        <f t="shared" si="4"/>
        <v>42131.654</v>
      </c>
      <c r="H13" s="42">
        <f t="shared" si="5"/>
        <v>-311</v>
      </c>
      <c r="I13" s="51" t="s">
        <v>77</v>
      </c>
      <c r="J13" s="52" t="s">
        <v>78</v>
      </c>
      <c r="K13" s="51">
        <v>-311</v>
      </c>
      <c r="L13" s="51" t="s">
        <v>79</v>
      </c>
      <c r="M13" s="52" t="s">
        <v>70</v>
      </c>
      <c r="N13" s="52"/>
      <c r="O13" s="53" t="s">
        <v>71</v>
      </c>
      <c r="P13" s="53" t="s">
        <v>80</v>
      </c>
    </row>
    <row r="14" spans="1:16" ht="12.75" customHeight="1" thickBot="1" x14ac:dyDescent="0.25">
      <c r="A14" s="42" t="str">
        <f t="shared" si="0"/>
        <v>IBVS 5583 </v>
      </c>
      <c r="B14" s="5" t="str">
        <f t="shared" si="1"/>
        <v>I</v>
      </c>
      <c r="C14" s="42">
        <f t="shared" si="2"/>
        <v>52684.605100000001</v>
      </c>
      <c r="D14" s="12" t="str">
        <f t="shared" si="3"/>
        <v>vis</v>
      </c>
      <c r="E14" s="50">
        <f>VLOOKUP(C14,Active!C$21:E$973,3,FALSE)</f>
        <v>1948.9996163346152</v>
      </c>
      <c r="F14" s="5" t="s">
        <v>65</v>
      </c>
      <c r="G14" s="12" t="str">
        <f t="shared" si="4"/>
        <v>52684.6051</v>
      </c>
      <c r="H14" s="42">
        <f t="shared" si="5"/>
        <v>1949</v>
      </c>
      <c r="I14" s="51" t="s">
        <v>81</v>
      </c>
      <c r="J14" s="52" t="s">
        <v>82</v>
      </c>
      <c r="K14" s="51">
        <v>1949</v>
      </c>
      <c r="L14" s="51" t="s">
        <v>83</v>
      </c>
      <c r="M14" s="52" t="s">
        <v>84</v>
      </c>
      <c r="N14" s="52" t="s">
        <v>85</v>
      </c>
      <c r="O14" s="53" t="s">
        <v>86</v>
      </c>
      <c r="P14" s="54" t="s">
        <v>87</v>
      </c>
    </row>
    <row r="15" spans="1:16" ht="12.75" customHeight="1" thickBot="1" x14ac:dyDescent="0.25">
      <c r="A15" s="42" t="str">
        <f t="shared" si="0"/>
        <v>IBVS 5690 </v>
      </c>
      <c r="B15" s="5" t="str">
        <f t="shared" si="1"/>
        <v>II</v>
      </c>
      <c r="C15" s="42">
        <f t="shared" si="2"/>
        <v>53508.760900000001</v>
      </c>
      <c r="D15" s="12" t="str">
        <f t="shared" si="3"/>
        <v>vis</v>
      </c>
      <c r="E15" s="50">
        <f>VLOOKUP(C15,Active!C$21:E$973,3,FALSE)</f>
        <v>2125.4997849310839</v>
      </c>
      <c r="F15" s="5" t="s">
        <v>65</v>
      </c>
      <c r="G15" s="12" t="str">
        <f t="shared" si="4"/>
        <v>53508.7609</v>
      </c>
      <c r="H15" s="42">
        <f t="shared" si="5"/>
        <v>2125.5</v>
      </c>
      <c r="I15" s="51" t="s">
        <v>88</v>
      </c>
      <c r="J15" s="52" t="s">
        <v>89</v>
      </c>
      <c r="K15" s="51">
        <v>2125.5</v>
      </c>
      <c r="L15" s="51" t="s">
        <v>90</v>
      </c>
      <c r="M15" s="52" t="s">
        <v>84</v>
      </c>
      <c r="N15" s="52" t="s">
        <v>91</v>
      </c>
      <c r="O15" s="53" t="s">
        <v>92</v>
      </c>
      <c r="P15" s="54" t="s">
        <v>93</v>
      </c>
    </row>
    <row r="16" spans="1:16" ht="12.75" customHeight="1" thickBot="1" x14ac:dyDescent="0.25">
      <c r="A16" s="42" t="str">
        <f t="shared" si="0"/>
        <v>IBVS 5843 </v>
      </c>
      <c r="B16" s="5" t="str">
        <f t="shared" si="1"/>
        <v>I</v>
      </c>
      <c r="C16" s="42">
        <f t="shared" si="2"/>
        <v>53515.767699999997</v>
      </c>
      <c r="D16" s="12" t="str">
        <f t="shared" si="3"/>
        <v>vis</v>
      </c>
      <c r="E16" s="50">
        <f>VLOOKUP(C16,Active!C$21:E$973,3,FALSE)</f>
        <v>2127.0003523982073</v>
      </c>
      <c r="F16" s="5" t="s">
        <v>65</v>
      </c>
      <c r="G16" s="12" t="str">
        <f t="shared" si="4"/>
        <v>53515.7677</v>
      </c>
      <c r="H16" s="42">
        <f t="shared" si="5"/>
        <v>2127</v>
      </c>
      <c r="I16" s="51" t="s">
        <v>94</v>
      </c>
      <c r="J16" s="52" t="s">
        <v>95</v>
      </c>
      <c r="K16" s="51">
        <v>2127</v>
      </c>
      <c r="L16" s="51" t="s">
        <v>96</v>
      </c>
      <c r="M16" s="52" t="s">
        <v>97</v>
      </c>
      <c r="N16" s="52" t="s">
        <v>98</v>
      </c>
      <c r="O16" s="53" t="s">
        <v>99</v>
      </c>
      <c r="P16" s="54" t="s">
        <v>100</v>
      </c>
    </row>
    <row r="17" spans="1:16" ht="12.75" customHeight="1" thickBot="1" x14ac:dyDescent="0.25">
      <c r="A17" s="42" t="str">
        <f t="shared" si="0"/>
        <v>IBVS 5992 </v>
      </c>
      <c r="B17" s="5" t="str">
        <f t="shared" si="1"/>
        <v>I</v>
      </c>
      <c r="C17" s="42">
        <f t="shared" si="2"/>
        <v>55677.7111</v>
      </c>
      <c r="D17" s="12" t="str">
        <f t="shared" si="3"/>
        <v>vis</v>
      </c>
      <c r="E17" s="50">
        <f>VLOOKUP(C17,Active!C$21:E$973,3,FALSE)</f>
        <v>2589.9994292669548</v>
      </c>
      <c r="F17" s="5" t="s">
        <v>65</v>
      </c>
      <c r="G17" s="12" t="str">
        <f t="shared" si="4"/>
        <v>55677.7111</v>
      </c>
      <c r="H17" s="42">
        <f t="shared" si="5"/>
        <v>2590</v>
      </c>
      <c r="I17" s="51" t="s">
        <v>118</v>
      </c>
      <c r="J17" s="52" t="s">
        <v>119</v>
      </c>
      <c r="K17" s="51" t="s">
        <v>120</v>
      </c>
      <c r="L17" s="51" t="s">
        <v>121</v>
      </c>
      <c r="M17" s="52" t="s">
        <v>97</v>
      </c>
      <c r="N17" s="52" t="s">
        <v>65</v>
      </c>
      <c r="O17" s="53" t="s">
        <v>122</v>
      </c>
      <c r="P17" s="54" t="s">
        <v>123</v>
      </c>
    </row>
    <row r="18" spans="1:16" ht="12.75" customHeight="1" thickBot="1" x14ac:dyDescent="0.25">
      <c r="A18" s="42" t="str">
        <f t="shared" si="0"/>
        <v>IBVS 6029 </v>
      </c>
      <c r="B18" s="5" t="str">
        <f t="shared" si="1"/>
        <v>I</v>
      </c>
      <c r="C18" s="42">
        <f t="shared" si="2"/>
        <v>56013.912300000004</v>
      </c>
      <c r="D18" s="12" t="str">
        <f t="shared" si="3"/>
        <v>vis</v>
      </c>
      <c r="E18" s="50">
        <f>VLOOKUP(C18,Active!C$21:E$973,3,FALSE)</f>
        <v>2661.9998550145328</v>
      </c>
      <c r="F18" s="5" t="s">
        <v>65</v>
      </c>
      <c r="G18" s="12" t="str">
        <f t="shared" si="4"/>
        <v>56013.9123</v>
      </c>
      <c r="H18" s="42">
        <f t="shared" si="5"/>
        <v>2662</v>
      </c>
      <c r="I18" s="51" t="s">
        <v>124</v>
      </c>
      <c r="J18" s="52" t="s">
        <v>125</v>
      </c>
      <c r="K18" s="51" t="s">
        <v>126</v>
      </c>
      <c r="L18" s="51" t="s">
        <v>127</v>
      </c>
      <c r="M18" s="52" t="s">
        <v>97</v>
      </c>
      <c r="N18" s="52" t="s">
        <v>65</v>
      </c>
      <c r="O18" s="53" t="s">
        <v>122</v>
      </c>
      <c r="P18" s="54" t="s">
        <v>128</v>
      </c>
    </row>
    <row r="19" spans="1:16" ht="12.75" customHeight="1" thickBot="1" x14ac:dyDescent="0.25">
      <c r="A19" s="42" t="str">
        <f t="shared" si="0"/>
        <v>VSB 45 </v>
      </c>
      <c r="B19" s="5" t="str">
        <f t="shared" si="1"/>
        <v>I</v>
      </c>
      <c r="C19" s="42">
        <f t="shared" si="2"/>
        <v>53879.979800000001</v>
      </c>
      <c r="D19" s="12" t="str">
        <f t="shared" si="3"/>
        <v>vis</v>
      </c>
      <c r="E19" s="50">
        <f>VLOOKUP(C19,Active!C$21:E$973,3,FALSE)</f>
        <v>2204.9995572268026</v>
      </c>
      <c r="F19" s="5" t="s">
        <v>65</v>
      </c>
      <c r="G19" s="12" t="str">
        <f t="shared" si="4"/>
        <v>53879.9798</v>
      </c>
      <c r="H19" s="42">
        <f t="shared" si="5"/>
        <v>2205</v>
      </c>
      <c r="I19" s="51" t="s">
        <v>101</v>
      </c>
      <c r="J19" s="52" t="s">
        <v>102</v>
      </c>
      <c r="K19" s="51" t="s">
        <v>103</v>
      </c>
      <c r="L19" s="51" t="s">
        <v>104</v>
      </c>
      <c r="M19" s="52" t="s">
        <v>84</v>
      </c>
      <c r="N19" s="52" t="s">
        <v>91</v>
      </c>
      <c r="O19" s="53" t="s">
        <v>105</v>
      </c>
      <c r="P19" s="54" t="s">
        <v>106</v>
      </c>
    </row>
    <row r="20" spans="1:16" ht="12.75" customHeight="1" thickBot="1" x14ac:dyDescent="0.25">
      <c r="A20" s="42" t="str">
        <f t="shared" si="0"/>
        <v>VSB 45 </v>
      </c>
      <c r="B20" s="5" t="str">
        <f t="shared" si="1"/>
        <v>I</v>
      </c>
      <c r="C20" s="42">
        <f t="shared" si="2"/>
        <v>53907.997199999998</v>
      </c>
      <c r="D20" s="12" t="str">
        <f t="shared" si="3"/>
        <v>vis</v>
      </c>
      <c r="E20" s="50">
        <f>VLOOKUP(C20,Active!C$21:E$973,3,FALSE)</f>
        <v>2210.999728339636</v>
      </c>
      <c r="F20" s="5" t="s">
        <v>65</v>
      </c>
      <c r="G20" s="12" t="str">
        <f t="shared" si="4"/>
        <v>53907.9972</v>
      </c>
      <c r="H20" s="42">
        <f t="shared" si="5"/>
        <v>2211</v>
      </c>
      <c r="I20" s="51" t="s">
        <v>107</v>
      </c>
      <c r="J20" s="52" t="s">
        <v>108</v>
      </c>
      <c r="K20" s="51" t="s">
        <v>109</v>
      </c>
      <c r="L20" s="51" t="s">
        <v>110</v>
      </c>
      <c r="M20" s="52" t="s">
        <v>84</v>
      </c>
      <c r="N20" s="52" t="s">
        <v>91</v>
      </c>
      <c r="O20" s="53" t="s">
        <v>105</v>
      </c>
      <c r="P20" s="54" t="s">
        <v>106</v>
      </c>
    </row>
    <row r="21" spans="1:16" ht="12.75" customHeight="1" thickBot="1" x14ac:dyDescent="0.25">
      <c r="A21" s="42" t="str">
        <f t="shared" si="0"/>
        <v>IBVS 5806 </v>
      </c>
      <c r="B21" s="5" t="str">
        <f t="shared" si="1"/>
        <v>II</v>
      </c>
      <c r="C21" s="42">
        <f t="shared" si="2"/>
        <v>53919.671000000002</v>
      </c>
      <c r="D21" s="12" t="str">
        <f t="shared" si="3"/>
        <v>vis</v>
      </c>
      <c r="E21" s="50">
        <f>VLOOKUP(C21,Active!C$21:E$973,3,FALSE)</f>
        <v>2213.4997746514646</v>
      </c>
      <c r="F21" s="5" t="s">
        <v>65</v>
      </c>
      <c r="G21" s="12" t="str">
        <f t="shared" si="4"/>
        <v>53919.6710</v>
      </c>
      <c r="H21" s="42">
        <f t="shared" si="5"/>
        <v>2213.5</v>
      </c>
      <c r="I21" s="51" t="s">
        <v>111</v>
      </c>
      <c r="J21" s="52" t="s">
        <v>112</v>
      </c>
      <c r="K21" s="51" t="s">
        <v>113</v>
      </c>
      <c r="L21" s="51" t="s">
        <v>114</v>
      </c>
      <c r="M21" s="52" t="s">
        <v>97</v>
      </c>
      <c r="N21" s="52" t="s">
        <v>115</v>
      </c>
      <c r="O21" s="53" t="s">
        <v>116</v>
      </c>
      <c r="P21" s="54" t="s">
        <v>117</v>
      </c>
    </row>
    <row r="22" spans="1:16" x14ac:dyDescent="0.2">
      <c r="B22" s="5"/>
      <c r="E22" s="50"/>
      <c r="F22" s="5"/>
    </row>
    <row r="23" spans="1:16" x14ac:dyDescent="0.2">
      <c r="B23" s="5"/>
      <c r="E23" s="50"/>
      <c r="F23" s="5"/>
    </row>
    <row r="24" spans="1:16" x14ac:dyDescent="0.2">
      <c r="B24" s="5"/>
      <c r="E24" s="50"/>
      <c r="F24" s="5"/>
    </row>
    <row r="25" spans="1:16" x14ac:dyDescent="0.2">
      <c r="B25" s="5"/>
      <c r="E25" s="50"/>
      <c r="F25" s="5"/>
    </row>
    <row r="26" spans="1:16" x14ac:dyDescent="0.2">
      <c r="B26" s="5"/>
      <c r="F26" s="5"/>
    </row>
    <row r="27" spans="1:16" x14ac:dyDescent="0.2">
      <c r="B27" s="5"/>
      <c r="F27" s="5"/>
    </row>
    <row r="28" spans="1:16" x14ac:dyDescent="0.2">
      <c r="B28" s="5"/>
      <c r="F28" s="5"/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</sheetData>
  <phoneticPr fontId="7" type="noConversion"/>
  <hyperlinks>
    <hyperlink ref="P14" r:id="rId1" display="http://www.konkoly.hu/cgi-bin/IBVS?5583" xr:uid="{00000000-0004-0000-0100-000000000000}"/>
    <hyperlink ref="P15" r:id="rId2" display="http://www.konkoly.hu/cgi-bin/IBVS?5690" xr:uid="{00000000-0004-0000-0100-000001000000}"/>
    <hyperlink ref="P16" r:id="rId3" display="http://www.konkoly.hu/cgi-bin/IBVS?5843" xr:uid="{00000000-0004-0000-0100-000002000000}"/>
    <hyperlink ref="P19" r:id="rId4" display="http://vsolj.cetus-net.org/no45.pdf" xr:uid="{00000000-0004-0000-0100-000003000000}"/>
    <hyperlink ref="P20" r:id="rId5" display="http://vsolj.cetus-net.org/no45.pdf" xr:uid="{00000000-0004-0000-0100-000004000000}"/>
    <hyperlink ref="P21" r:id="rId6" display="http://www.konkoly.hu/cgi-bin/IBVS?5806" xr:uid="{00000000-0004-0000-0100-000005000000}"/>
    <hyperlink ref="P17" r:id="rId7" display="http://www.konkoly.hu/cgi-bin/IBVS?5992" xr:uid="{00000000-0004-0000-0100-000006000000}"/>
    <hyperlink ref="P18" r:id="rId8" display="http://www.konkoly.hu/cgi-bin/IBVS?6029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2024-03-09T05:45:50Z</dcterms:modified>
</cp:coreProperties>
</file>