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7D9418C-6977-4FE5-9E0A-4919AAA57FF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3" i="1" l="1"/>
  <c r="D9" i="1"/>
  <c r="C9" i="1"/>
  <c r="Q31" i="1"/>
  <c r="G19" i="2"/>
  <c r="C19" i="2"/>
  <c r="G18" i="2"/>
  <c r="C18" i="2"/>
  <c r="G17" i="2"/>
  <c r="C17" i="2"/>
  <c r="G20" i="2"/>
  <c r="C20" i="2"/>
  <c r="G16" i="2"/>
  <c r="C16" i="2"/>
  <c r="G15" i="2"/>
  <c r="C15" i="2"/>
  <c r="G14" i="2"/>
  <c r="C14" i="2"/>
  <c r="G13" i="2"/>
  <c r="C13" i="2"/>
  <c r="G12" i="2"/>
  <c r="C12" i="2"/>
  <c r="G21" i="2"/>
  <c r="C21" i="2"/>
  <c r="H19" i="2"/>
  <c r="B19" i="2"/>
  <c r="D19" i="2"/>
  <c r="A19" i="2"/>
  <c r="H18" i="2"/>
  <c r="D18" i="2"/>
  <c r="B18" i="2"/>
  <c r="A18" i="2"/>
  <c r="H17" i="2"/>
  <c r="B17" i="2"/>
  <c r="D17" i="2"/>
  <c r="A17" i="2"/>
  <c r="H20" i="2"/>
  <c r="D20" i="2"/>
  <c r="B20" i="2"/>
  <c r="A20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21" i="2"/>
  <c r="D21" i="2"/>
  <c r="B21" i="2"/>
  <c r="A21" i="2"/>
  <c r="Q34" i="1"/>
  <c r="Q33" i="1"/>
  <c r="Q32" i="1"/>
  <c r="F16" i="1"/>
  <c r="F17" i="1" s="1"/>
  <c r="C17" i="1"/>
  <c r="Q28" i="1"/>
  <c r="Q29" i="1"/>
  <c r="Q26" i="1"/>
  <c r="Q27" i="1"/>
  <c r="C7" i="1"/>
  <c r="E26" i="1"/>
  <c r="F26" i="1"/>
  <c r="C8" i="1"/>
  <c r="Q30" i="1"/>
  <c r="Q25" i="1"/>
  <c r="Q22" i="1"/>
  <c r="Q24" i="1"/>
  <c r="Q21" i="1"/>
  <c r="E12" i="2"/>
  <c r="E13" i="2"/>
  <c r="E32" i="1"/>
  <c r="F32" i="1"/>
  <c r="G32" i="1"/>
  <c r="K32" i="1"/>
  <c r="E21" i="1"/>
  <c r="F21" i="1"/>
  <c r="E28" i="1"/>
  <c r="F28" i="1"/>
  <c r="E34" i="1"/>
  <c r="F34" i="1"/>
  <c r="G34" i="1"/>
  <c r="K34" i="1"/>
  <c r="E25" i="1"/>
  <c r="F25" i="1"/>
  <c r="G25" i="1"/>
  <c r="J25" i="1"/>
  <c r="E30" i="1"/>
  <c r="F30" i="1"/>
  <c r="G30" i="1"/>
  <c r="K30" i="1"/>
  <c r="E23" i="1"/>
  <c r="F23" i="1"/>
  <c r="G23" i="1"/>
  <c r="I23" i="1"/>
  <c r="E27" i="1"/>
  <c r="F27" i="1"/>
  <c r="G27" i="1"/>
  <c r="K27" i="1"/>
  <c r="E33" i="1"/>
  <c r="F33" i="1"/>
  <c r="G33" i="1"/>
  <c r="K33" i="1"/>
  <c r="G26" i="1"/>
  <c r="K26" i="1"/>
  <c r="E22" i="1"/>
  <c r="F22" i="1"/>
  <c r="G22" i="1"/>
  <c r="I22" i="1"/>
  <c r="E29" i="1"/>
  <c r="F29" i="1"/>
  <c r="G29" i="1"/>
  <c r="K29" i="1"/>
  <c r="G21" i="1"/>
  <c r="E31" i="1"/>
  <c r="F31" i="1"/>
  <c r="G31" i="1"/>
  <c r="I31" i="1"/>
  <c r="E24" i="1"/>
  <c r="F24" i="1"/>
  <c r="G28" i="1"/>
  <c r="K28" i="1"/>
  <c r="E20" i="2"/>
  <c r="E21" i="2"/>
  <c r="E14" i="2"/>
  <c r="E19" i="2"/>
  <c r="E16" i="2"/>
  <c r="E18" i="2"/>
  <c r="H21" i="1"/>
  <c r="E15" i="2"/>
  <c r="E17" i="2"/>
  <c r="C11" i="1"/>
  <c r="C12" i="1"/>
  <c r="C16" i="1" l="1"/>
  <c r="D18" i="1" s="1"/>
  <c r="O30" i="1"/>
  <c r="O26" i="1"/>
  <c r="O28" i="1"/>
  <c r="O24" i="1"/>
  <c r="O29" i="1"/>
  <c r="O31" i="1"/>
  <c r="O21" i="1"/>
  <c r="O34" i="1"/>
  <c r="C15" i="1"/>
  <c r="O32" i="1"/>
  <c r="O23" i="1"/>
  <c r="O27" i="1"/>
  <c r="O33" i="1"/>
  <c r="O25" i="1"/>
  <c r="O22" i="1"/>
  <c r="C18" i="1" l="1"/>
  <c r="F18" i="1"/>
  <c r="F19" i="1" s="1"/>
</calcChain>
</file>

<file path=xl/sharedStrings.xml><?xml version="1.0" encoding="utf-8"?>
<sst xmlns="http://schemas.openxmlformats.org/spreadsheetml/2006/main" count="165" uniqueCount="115">
  <si>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</si>
  <si>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</si>
  <si>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</si>
  <si>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</si>
  <si>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</si>
  <si>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</si>
  <si>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</si>
  <si>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</si>
  <si>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</si>
  <si>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</si>
  <si>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</si>
  <si>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</si>
  <si>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</si>
  <si>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</si>
  <si>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</si>
  <si>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</si>
  <si>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</si>
  <si>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</si>
  <si>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</si>
  <si>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</si>
  <si>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</si>
  <si>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</si>
  <si>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</si>
  <si>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</si>
  <si>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</si>
  <si>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</si>
  <si>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</si>
  <si>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</si>
  <si>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</si>
  <si>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Bull.115</t>
  </si>
  <si>
    <t>B</t>
  </si>
  <si>
    <t>BBSAG Bull.117</t>
  </si>
  <si>
    <t>IBVS 5263</t>
  </si>
  <si>
    <t>I</t>
  </si>
  <si>
    <t xml:space="preserve">NOTE:  Correct coordinates for DY Vir are 12 19 12 +09 22 14  </t>
  </si>
  <si>
    <t>bad</t>
  </si>
  <si>
    <t>ROTSE</t>
  </si>
  <si>
    <t>R.Diethelm BBS 125</t>
  </si>
  <si>
    <t>IBVS 5583</t>
  </si>
  <si>
    <t>IBVS 5592</t>
  </si>
  <si>
    <t>EA/SD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</si>
  <si>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</si>
  <si>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</si>
  <si>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</si>
  <si>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</si>
  <si>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</si>
  <si>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</si>
  <si>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</si>
  <si>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</si>
  <si>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</si>
  <si>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5992</t>
  </si>
  <si>
    <t>DY Vir / GSC 873-0381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</si>
  <si>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</si>
  <si>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</si>
  <si>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</si>
  <si>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</si>
  <si>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</si>
  <si>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</si>
  <si>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</si>
  <si>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</si>
  <si>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</si>
  <si>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</si>
  <si>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</si>
  <si>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</si>
  <si>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2450557.3889 </t>
  </si>
  <si>
    <t> 18.04.1997 21:20 </t>
  </si>
  <si>
    <t> -0.0994 </t>
  </si>
  <si>
    <t>E </t>
  </si>
  <si>
    <t>?</t>
  </si>
  <si>
    <t> R.Diethelm </t>
  </si>
  <si>
    <t> BBS 115 </t>
  </si>
  <si>
    <t>2450926.4916 </t>
  </si>
  <si>
    <t> 22.04.1998 23:47 </t>
  </si>
  <si>
    <t> -0.0373 </t>
  </si>
  <si>
    <t> BBS 117 </t>
  </si>
  <si>
    <t>2451237.5370 </t>
  </si>
  <si>
    <t> 28.02.1999 00:53 </t>
  </si>
  <si>
    <t> -0.1071 </t>
  </si>
  <si>
    <t> M.Zejda </t>
  </si>
  <si>
    <t>IBVS 5263 </t>
  </si>
  <si>
    <t>2452049.4226 </t>
  </si>
  <si>
    <t> 19.05.2001 22:08 </t>
  </si>
  <si>
    <t> -0.1108 </t>
  </si>
  <si>
    <t> BBS 125 </t>
  </si>
  <si>
    <t>2452672.5857 </t>
  </si>
  <si>
    <t> 02.02.2003 02:03 </t>
  </si>
  <si>
    <t> -0.1125 </t>
  </si>
  <si>
    <t>R</t>
  </si>
  <si>
    <t>IBVS 5583 </t>
  </si>
  <si>
    <t>2453118.2316 </t>
  </si>
  <si>
    <t> 22.04.2004 17:33 </t>
  </si>
  <si>
    <t> -0.1182 </t>
  </si>
  <si>
    <t> T.Krajci </t>
  </si>
  <si>
    <t>IBVS 5592 </t>
  </si>
  <si>
    <t>2454861.5840 </t>
  </si>
  <si>
    <t> 30.01.2009 02:00 </t>
  </si>
  <si>
    <t> -0.1322 </t>
  </si>
  <si>
    <t>C </t>
  </si>
  <si>
    <t>o</t>
  </si>
  <si>
    <t> U.Schmidt </t>
  </si>
  <si>
    <t>BAVM 203 </t>
  </si>
  <si>
    <t>2455638.8993 </t>
  </si>
  <si>
    <t> 18.03.2011 09:34 </t>
  </si>
  <si>
    <t> -0.1379 </t>
  </si>
  <si>
    <t>IBVS 5992 </t>
  </si>
  <si>
    <t>2455979.9102 </t>
  </si>
  <si>
    <t> 22.02.2012 09:50 </t>
  </si>
  <si>
    <t> -0.1392 </t>
  </si>
  <si>
    <t>IBVS 6029 </t>
  </si>
  <si>
    <t>2456039.7015 </t>
  </si>
  <si>
    <t> 22.04.2012 04:50 </t>
  </si>
  <si>
    <t> -0.1418 </t>
  </si>
  <si>
    <t>BAD?</t>
  </si>
  <si>
    <t>PE?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</si>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</sst>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NumberFormat="1" applyFont="1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DY Vir - O-C Diagr.</a:t>
            </a:r>
          </a:p>
        </c:rich>
      </c:tx>
      <c:layout>
        <c:manualLayout>
          <c:xMode val="edge"/>
          <c:yMode val="edge"/>
          <c:x val="0.3937595987722931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4378093931449"/>
          <c:y val="0.14723926380368099"/>
          <c:w val="0.82169450403866207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12476</c:v>
                </c:pt>
                <c:pt idx="2">
                  <c:v>12476</c:v>
                </c:pt>
                <c:pt idx="3">
                  <c:v>12871</c:v>
                </c:pt>
                <c:pt idx="4">
                  <c:v>13204</c:v>
                </c:pt>
                <c:pt idx="5">
                  <c:v>13247</c:v>
                </c:pt>
                <c:pt idx="6">
                  <c:v>14073</c:v>
                </c:pt>
                <c:pt idx="7">
                  <c:v>14740</c:v>
                </c:pt>
                <c:pt idx="8">
                  <c:v>14740</c:v>
                </c:pt>
                <c:pt idx="9">
                  <c:v>15217</c:v>
                </c:pt>
                <c:pt idx="10">
                  <c:v>17083</c:v>
                </c:pt>
                <c:pt idx="11">
                  <c:v>17915</c:v>
                </c:pt>
                <c:pt idx="12">
                  <c:v>18280</c:v>
                </c:pt>
                <c:pt idx="13">
                  <c:v>18344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9C-4419-9763-46ADF94269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4">
                    <c:v>1.0999999999999999E-2</c:v>
                  </c:pt>
                  <c:pt idx="7">
                    <c:v>7.7000000000000002E-3</c:v>
                  </c:pt>
                  <c:pt idx="8">
                    <c:v>7.7000000000000002E-3</c:v>
                  </c:pt>
                  <c:pt idx="9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4">
                    <c:v>1.0999999999999999E-2</c:v>
                  </c:pt>
                  <c:pt idx="7">
                    <c:v>7.7000000000000002E-3</c:v>
                  </c:pt>
                  <c:pt idx="8">
                    <c:v>7.7000000000000002E-3</c:v>
                  </c:pt>
                  <c:pt idx="9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12476</c:v>
                </c:pt>
                <c:pt idx="2">
                  <c:v>12476</c:v>
                </c:pt>
                <c:pt idx="3">
                  <c:v>12871</c:v>
                </c:pt>
                <c:pt idx="4">
                  <c:v>13204</c:v>
                </c:pt>
                <c:pt idx="5">
                  <c:v>13247</c:v>
                </c:pt>
                <c:pt idx="6">
                  <c:v>14073</c:v>
                </c:pt>
                <c:pt idx="7">
                  <c:v>14740</c:v>
                </c:pt>
                <c:pt idx="8">
                  <c:v>14740</c:v>
                </c:pt>
                <c:pt idx="9">
                  <c:v>15217</c:v>
                </c:pt>
                <c:pt idx="10">
                  <c:v>17083</c:v>
                </c:pt>
                <c:pt idx="11">
                  <c:v>17915</c:v>
                </c:pt>
                <c:pt idx="12">
                  <c:v>18280</c:v>
                </c:pt>
                <c:pt idx="13">
                  <c:v>18344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-0.10027999999874737</c:v>
                </c:pt>
                <c:pt idx="2">
                  <c:v>-9.9379999999655411E-2</c:v>
                </c:pt>
                <c:pt idx="10">
                  <c:v>-0.13223999999900116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9C-4419-9763-46ADF94269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4">
                    <c:v>1.0999999999999999E-2</c:v>
                  </c:pt>
                  <c:pt idx="7">
                    <c:v>7.7000000000000002E-3</c:v>
                  </c:pt>
                  <c:pt idx="8">
                    <c:v>7.7000000000000002E-3</c:v>
                  </c:pt>
                  <c:pt idx="9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4">
                    <c:v>1.0999999999999999E-2</c:v>
                  </c:pt>
                  <c:pt idx="7">
                    <c:v>7.7000000000000002E-3</c:v>
                  </c:pt>
                  <c:pt idx="8">
                    <c:v>7.7000000000000002E-3</c:v>
                  </c:pt>
                  <c:pt idx="9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12476</c:v>
                </c:pt>
                <c:pt idx="2">
                  <c:v>12476</c:v>
                </c:pt>
                <c:pt idx="3">
                  <c:v>12871</c:v>
                </c:pt>
                <c:pt idx="4">
                  <c:v>13204</c:v>
                </c:pt>
                <c:pt idx="5">
                  <c:v>13247</c:v>
                </c:pt>
                <c:pt idx="6">
                  <c:v>14073</c:v>
                </c:pt>
                <c:pt idx="7">
                  <c:v>14740</c:v>
                </c:pt>
                <c:pt idx="8">
                  <c:v>14740</c:v>
                </c:pt>
                <c:pt idx="9">
                  <c:v>15217</c:v>
                </c:pt>
                <c:pt idx="10">
                  <c:v>17083</c:v>
                </c:pt>
                <c:pt idx="11">
                  <c:v>17915</c:v>
                </c:pt>
                <c:pt idx="12">
                  <c:v>18280</c:v>
                </c:pt>
                <c:pt idx="13">
                  <c:v>18344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4">
                  <c:v>-0.10712000000057742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9C-4419-9763-46ADF94269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4">
                    <c:v>1.0999999999999999E-2</c:v>
                  </c:pt>
                  <c:pt idx="7">
                    <c:v>7.7000000000000002E-3</c:v>
                  </c:pt>
                  <c:pt idx="8">
                    <c:v>7.7000000000000002E-3</c:v>
                  </c:pt>
                  <c:pt idx="9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4">
                    <c:v>1.0999999999999999E-2</c:v>
                  </c:pt>
                  <c:pt idx="7">
                    <c:v>7.7000000000000002E-3</c:v>
                  </c:pt>
                  <c:pt idx="8">
                    <c:v>7.7000000000000002E-3</c:v>
                  </c:pt>
                  <c:pt idx="9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12476</c:v>
                </c:pt>
                <c:pt idx="2">
                  <c:v>12476</c:v>
                </c:pt>
                <c:pt idx="3">
                  <c:v>12871</c:v>
                </c:pt>
                <c:pt idx="4">
                  <c:v>13204</c:v>
                </c:pt>
                <c:pt idx="5">
                  <c:v>13247</c:v>
                </c:pt>
                <c:pt idx="6">
                  <c:v>14073</c:v>
                </c:pt>
                <c:pt idx="7">
                  <c:v>14740</c:v>
                </c:pt>
                <c:pt idx="8">
                  <c:v>14740</c:v>
                </c:pt>
                <c:pt idx="9">
                  <c:v>15217</c:v>
                </c:pt>
                <c:pt idx="10">
                  <c:v>17083</c:v>
                </c:pt>
                <c:pt idx="11">
                  <c:v>17915</c:v>
                </c:pt>
                <c:pt idx="12">
                  <c:v>18280</c:v>
                </c:pt>
                <c:pt idx="13">
                  <c:v>18344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5">
                  <c:v>-0.10485999999946216</c:v>
                </c:pt>
                <c:pt idx="6">
                  <c:v>-0.11084000000118976</c:v>
                </c:pt>
                <c:pt idx="7">
                  <c:v>-0.11249999999563443</c:v>
                </c:pt>
                <c:pt idx="8">
                  <c:v>-0.11249999999563443</c:v>
                </c:pt>
                <c:pt idx="9">
                  <c:v>-0.11815999999816995</c:v>
                </c:pt>
                <c:pt idx="11">
                  <c:v>-0.13790000000153668</c:v>
                </c:pt>
                <c:pt idx="12">
                  <c:v>-0.13920000000507571</c:v>
                </c:pt>
                <c:pt idx="13">
                  <c:v>-0.1418199999970966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9C-4419-9763-46ADF94269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4">
                    <c:v>1.0999999999999999E-2</c:v>
                  </c:pt>
                  <c:pt idx="7">
                    <c:v>7.7000000000000002E-3</c:v>
                  </c:pt>
                  <c:pt idx="8">
                    <c:v>7.7000000000000002E-3</c:v>
                  </c:pt>
                  <c:pt idx="9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4">
                    <c:v>1.0999999999999999E-2</c:v>
                  </c:pt>
                  <c:pt idx="7">
                    <c:v>7.7000000000000002E-3</c:v>
                  </c:pt>
                  <c:pt idx="8">
                    <c:v>7.7000000000000002E-3</c:v>
                  </c:pt>
                  <c:pt idx="9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12476</c:v>
                </c:pt>
                <c:pt idx="2">
                  <c:v>12476</c:v>
                </c:pt>
                <c:pt idx="3">
                  <c:v>12871</c:v>
                </c:pt>
                <c:pt idx="4">
                  <c:v>13204</c:v>
                </c:pt>
                <c:pt idx="5">
                  <c:v>13247</c:v>
                </c:pt>
                <c:pt idx="6">
                  <c:v>14073</c:v>
                </c:pt>
                <c:pt idx="7">
                  <c:v>14740</c:v>
                </c:pt>
                <c:pt idx="8">
                  <c:v>14740</c:v>
                </c:pt>
                <c:pt idx="9">
                  <c:v>15217</c:v>
                </c:pt>
                <c:pt idx="10">
                  <c:v>17083</c:v>
                </c:pt>
                <c:pt idx="11">
                  <c:v>17915</c:v>
                </c:pt>
                <c:pt idx="12">
                  <c:v>18280</c:v>
                </c:pt>
                <c:pt idx="13">
                  <c:v>18344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9C-4419-9763-46ADF94269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4">
                    <c:v>1.0999999999999999E-2</c:v>
                  </c:pt>
                  <c:pt idx="7">
                    <c:v>7.7000000000000002E-3</c:v>
                  </c:pt>
                  <c:pt idx="8">
                    <c:v>7.7000000000000002E-3</c:v>
                  </c:pt>
                  <c:pt idx="9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4">
                    <c:v>1.0999999999999999E-2</c:v>
                  </c:pt>
                  <c:pt idx="7">
                    <c:v>7.7000000000000002E-3</c:v>
                  </c:pt>
                  <c:pt idx="8">
                    <c:v>7.7000000000000002E-3</c:v>
                  </c:pt>
                  <c:pt idx="9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12476</c:v>
                </c:pt>
                <c:pt idx="2">
                  <c:v>12476</c:v>
                </c:pt>
                <c:pt idx="3">
                  <c:v>12871</c:v>
                </c:pt>
                <c:pt idx="4">
                  <c:v>13204</c:v>
                </c:pt>
                <c:pt idx="5">
                  <c:v>13247</c:v>
                </c:pt>
                <c:pt idx="6">
                  <c:v>14073</c:v>
                </c:pt>
                <c:pt idx="7">
                  <c:v>14740</c:v>
                </c:pt>
                <c:pt idx="8">
                  <c:v>14740</c:v>
                </c:pt>
                <c:pt idx="9">
                  <c:v>15217</c:v>
                </c:pt>
                <c:pt idx="10">
                  <c:v>17083</c:v>
                </c:pt>
                <c:pt idx="11">
                  <c:v>17915</c:v>
                </c:pt>
                <c:pt idx="12">
                  <c:v>18280</c:v>
                </c:pt>
                <c:pt idx="13">
                  <c:v>18344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9C-4419-9763-46ADF94269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4">
                    <c:v>1.0999999999999999E-2</c:v>
                  </c:pt>
                  <c:pt idx="7">
                    <c:v>7.7000000000000002E-3</c:v>
                  </c:pt>
                  <c:pt idx="8">
                    <c:v>7.7000000000000002E-3</c:v>
                  </c:pt>
                  <c:pt idx="9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4">
                    <c:v>1.0999999999999999E-2</c:v>
                  </c:pt>
                  <c:pt idx="7">
                    <c:v>7.7000000000000002E-3</c:v>
                  </c:pt>
                  <c:pt idx="8">
                    <c:v>7.7000000000000002E-3</c:v>
                  </c:pt>
                  <c:pt idx="9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12476</c:v>
                </c:pt>
                <c:pt idx="2">
                  <c:v>12476</c:v>
                </c:pt>
                <c:pt idx="3">
                  <c:v>12871</c:v>
                </c:pt>
                <c:pt idx="4">
                  <c:v>13204</c:v>
                </c:pt>
                <c:pt idx="5">
                  <c:v>13247</c:v>
                </c:pt>
                <c:pt idx="6">
                  <c:v>14073</c:v>
                </c:pt>
                <c:pt idx="7">
                  <c:v>14740</c:v>
                </c:pt>
                <c:pt idx="8">
                  <c:v>14740</c:v>
                </c:pt>
                <c:pt idx="9">
                  <c:v>15217</c:v>
                </c:pt>
                <c:pt idx="10">
                  <c:v>17083</c:v>
                </c:pt>
                <c:pt idx="11">
                  <c:v>17915</c:v>
                </c:pt>
                <c:pt idx="12">
                  <c:v>18280</c:v>
                </c:pt>
                <c:pt idx="13">
                  <c:v>18344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9C-4419-9763-46ADF94269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12476</c:v>
                </c:pt>
                <c:pt idx="2">
                  <c:v>12476</c:v>
                </c:pt>
                <c:pt idx="3">
                  <c:v>12871</c:v>
                </c:pt>
                <c:pt idx="4">
                  <c:v>13204</c:v>
                </c:pt>
                <c:pt idx="5">
                  <c:v>13247</c:v>
                </c:pt>
                <c:pt idx="6">
                  <c:v>14073</c:v>
                </c:pt>
                <c:pt idx="7">
                  <c:v>14740</c:v>
                </c:pt>
                <c:pt idx="8">
                  <c:v>14740</c:v>
                </c:pt>
                <c:pt idx="9">
                  <c:v>15217</c:v>
                </c:pt>
                <c:pt idx="10">
                  <c:v>17083</c:v>
                </c:pt>
                <c:pt idx="11">
                  <c:v>17915</c:v>
                </c:pt>
                <c:pt idx="12">
                  <c:v>18280</c:v>
                </c:pt>
                <c:pt idx="13">
                  <c:v>18344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-2.3549488071524516E-3</c:v>
                </c:pt>
                <c:pt idx="1">
                  <c:v>-9.7484365803016018E-2</c:v>
                </c:pt>
                <c:pt idx="2">
                  <c:v>-9.7484365803016018E-2</c:v>
                </c:pt>
                <c:pt idx="3">
                  <c:v>-0.1004962381750396</c:v>
                </c:pt>
                <c:pt idx="4">
                  <c:v>-0.10303536095955568</c:v>
                </c:pt>
                <c:pt idx="5">
                  <c:v>-0.10336323567347216</c:v>
                </c:pt>
                <c:pt idx="6">
                  <c:v>-0.10966148017800753</c:v>
                </c:pt>
                <c:pt idx="7">
                  <c:v>-0.11474735074038658</c:v>
                </c:pt>
                <c:pt idx="8">
                  <c:v>-0.11474735074038658</c:v>
                </c:pt>
                <c:pt idx="9">
                  <c:v>-0.11838447256685555</c:v>
                </c:pt>
                <c:pt idx="10">
                  <c:v>-0.13261271015216186</c:v>
                </c:pt>
                <c:pt idx="11">
                  <c:v>-0.13895670461677859</c:v>
                </c:pt>
                <c:pt idx="12">
                  <c:v>-0.14173982718839531</c:v>
                </c:pt>
                <c:pt idx="13">
                  <c:v>-0.1422278267625966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9C-4419-9763-46ADF942699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12476</c:v>
                </c:pt>
                <c:pt idx="2">
                  <c:v>12476</c:v>
                </c:pt>
                <c:pt idx="3">
                  <c:v>12871</c:v>
                </c:pt>
                <c:pt idx="4">
                  <c:v>13204</c:v>
                </c:pt>
                <c:pt idx="5">
                  <c:v>13247</c:v>
                </c:pt>
                <c:pt idx="6">
                  <c:v>14073</c:v>
                </c:pt>
                <c:pt idx="7">
                  <c:v>14740</c:v>
                </c:pt>
                <c:pt idx="8">
                  <c:v>14740</c:v>
                </c:pt>
                <c:pt idx="9">
                  <c:v>15217</c:v>
                </c:pt>
                <c:pt idx="10">
                  <c:v>17083</c:v>
                </c:pt>
                <c:pt idx="11">
                  <c:v>17915</c:v>
                </c:pt>
                <c:pt idx="12">
                  <c:v>18280</c:v>
                </c:pt>
                <c:pt idx="13">
                  <c:v>18344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">
                  <c:v>-3.7279999996826518E-2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9C-4419-9763-46ADF942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205104"/>
        <c:axId val="1"/>
      </c:scatterChart>
      <c:valAx>
        <c:axId val="394205104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73996638236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205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264502969818221"/>
          <c:y val="0.92024539877300615"/>
          <c:w val="0.8157509954643484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DY Vir - O-C Diagr.</a:t>
            </a:r>
          </a:p>
        </c:rich>
      </c:tx>
      <c:layout>
        <c:manualLayout>
          <c:xMode val="edge"/>
          <c:yMode val="edge"/>
          <c:x val="0.3931750741839762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4747774480713"/>
          <c:y val="0.14678942920199375"/>
          <c:w val="0.82195845697329373"/>
          <c:h val="0.685017336275970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12476</c:v>
                </c:pt>
                <c:pt idx="2">
                  <c:v>12476</c:v>
                </c:pt>
                <c:pt idx="3">
                  <c:v>12871</c:v>
                </c:pt>
                <c:pt idx="4">
                  <c:v>13204</c:v>
                </c:pt>
                <c:pt idx="5">
                  <c:v>13247</c:v>
                </c:pt>
                <c:pt idx="6">
                  <c:v>14073</c:v>
                </c:pt>
                <c:pt idx="7">
                  <c:v>14740</c:v>
                </c:pt>
                <c:pt idx="8">
                  <c:v>14740</c:v>
                </c:pt>
                <c:pt idx="9">
                  <c:v>15217</c:v>
                </c:pt>
                <c:pt idx="10">
                  <c:v>17083</c:v>
                </c:pt>
                <c:pt idx="11">
                  <c:v>17915</c:v>
                </c:pt>
                <c:pt idx="12">
                  <c:v>18280</c:v>
                </c:pt>
                <c:pt idx="13">
                  <c:v>18344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56-43DD-A928-DB9CCDCAE76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4">
                    <c:v>1.0999999999999999E-2</c:v>
                  </c:pt>
                  <c:pt idx="7">
                    <c:v>7.7000000000000002E-3</c:v>
                  </c:pt>
                  <c:pt idx="8">
                    <c:v>7.7000000000000002E-3</c:v>
                  </c:pt>
                  <c:pt idx="9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4">
                    <c:v>1.0999999999999999E-2</c:v>
                  </c:pt>
                  <c:pt idx="7">
                    <c:v>7.7000000000000002E-3</c:v>
                  </c:pt>
                  <c:pt idx="8">
                    <c:v>7.7000000000000002E-3</c:v>
                  </c:pt>
                  <c:pt idx="9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12476</c:v>
                </c:pt>
                <c:pt idx="2">
                  <c:v>12476</c:v>
                </c:pt>
                <c:pt idx="3">
                  <c:v>12871</c:v>
                </c:pt>
                <c:pt idx="4">
                  <c:v>13204</c:v>
                </c:pt>
                <c:pt idx="5">
                  <c:v>13247</c:v>
                </c:pt>
                <c:pt idx="6">
                  <c:v>14073</c:v>
                </c:pt>
                <c:pt idx="7">
                  <c:v>14740</c:v>
                </c:pt>
                <c:pt idx="8">
                  <c:v>14740</c:v>
                </c:pt>
                <c:pt idx="9">
                  <c:v>15217</c:v>
                </c:pt>
                <c:pt idx="10">
                  <c:v>17083</c:v>
                </c:pt>
                <c:pt idx="11">
                  <c:v>17915</c:v>
                </c:pt>
                <c:pt idx="12">
                  <c:v>18280</c:v>
                </c:pt>
                <c:pt idx="13">
                  <c:v>18344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-0.10027999999874737</c:v>
                </c:pt>
                <c:pt idx="2">
                  <c:v>-9.9379999999655411E-2</c:v>
                </c:pt>
                <c:pt idx="10">
                  <c:v>-0.13223999999900116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56-43DD-A928-DB9CCDCAE76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4">
                    <c:v>1.0999999999999999E-2</c:v>
                  </c:pt>
                  <c:pt idx="7">
                    <c:v>7.7000000000000002E-3</c:v>
                  </c:pt>
                  <c:pt idx="8">
                    <c:v>7.7000000000000002E-3</c:v>
                  </c:pt>
                  <c:pt idx="9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4">
                    <c:v>1.0999999999999999E-2</c:v>
                  </c:pt>
                  <c:pt idx="7">
                    <c:v>7.7000000000000002E-3</c:v>
                  </c:pt>
                  <c:pt idx="8">
                    <c:v>7.7000000000000002E-3</c:v>
                  </c:pt>
                  <c:pt idx="9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12476</c:v>
                </c:pt>
                <c:pt idx="2">
                  <c:v>12476</c:v>
                </c:pt>
                <c:pt idx="3">
                  <c:v>12871</c:v>
                </c:pt>
                <c:pt idx="4">
                  <c:v>13204</c:v>
                </c:pt>
                <c:pt idx="5">
                  <c:v>13247</c:v>
                </c:pt>
                <c:pt idx="6">
                  <c:v>14073</c:v>
                </c:pt>
                <c:pt idx="7">
                  <c:v>14740</c:v>
                </c:pt>
                <c:pt idx="8">
                  <c:v>14740</c:v>
                </c:pt>
                <c:pt idx="9">
                  <c:v>15217</c:v>
                </c:pt>
                <c:pt idx="10">
                  <c:v>17083</c:v>
                </c:pt>
                <c:pt idx="11">
                  <c:v>17915</c:v>
                </c:pt>
                <c:pt idx="12">
                  <c:v>18280</c:v>
                </c:pt>
                <c:pt idx="13">
                  <c:v>18344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4">
                  <c:v>-0.10712000000057742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56-43DD-A928-DB9CCDCAE76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4">
                    <c:v>1.0999999999999999E-2</c:v>
                  </c:pt>
                  <c:pt idx="7">
                    <c:v>7.7000000000000002E-3</c:v>
                  </c:pt>
                  <c:pt idx="8">
                    <c:v>7.7000000000000002E-3</c:v>
                  </c:pt>
                  <c:pt idx="9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4">
                    <c:v>1.0999999999999999E-2</c:v>
                  </c:pt>
                  <c:pt idx="7">
                    <c:v>7.7000000000000002E-3</c:v>
                  </c:pt>
                  <c:pt idx="8">
                    <c:v>7.7000000000000002E-3</c:v>
                  </c:pt>
                  <c:pt idx="9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12476</c:v>
                </c:pt>
                <c:pt idx="2">
                  <c:v>12476</c:v>
                </c:pt>
                <c:pt idx="3">
                  <c:v>12871</c:v>
                </c:pt>
                <c:pt idx="4">
                  <c:v>13204</c:v>
                </c:pt>
                <c:pt idx="5">
                  <c:v>13247</c:v>
                </c:pt>
                <c:pt idx="6">
                  <c:v>14073</c:v>
                </c:pt>
                <c:pt idx="7">
                  <c:v>14740</c:v>
                </c:pt>
                <c:pt idx="8">
                  <c:v>14740</c:v>
                </c:pt>
                <c:pt idx="9">
                  <c:v>15217</c:v>
                </c:pt>
                <c:pt idx="10">
                  <c:v>17083</c:v>
                </c:pt>
                <c:pt idx="11">
                  <c:v>17915</c:v>
                </c:pt>
                <c:pt idx="12">
                  <c:v>18280</c:v>
                </c:pt>
                <c:pt idx="13">
                  <c:v>18344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5">
                  <c:v>-0.10485999999946216</c:v>
                </c:pt>
                <c:pt idx="6">
                  <c:v>-0.11084000000118976</c:v>
                </c:pt>
                <c:pt idx="7">
                  <c:v>-0.11249999999563443</c:v>
                </c:pt>
                <c:pt idx="8">
                  <c:v>-0.11249999999563443</c:v>
                </c:pt>
                <c:pt idx="9">
                  <c:v>-0.11815999999816995</c:v>
                </c:pt>
                <c:pt idx="11">
                  <c:v>-0.13790000000153668</c:v>
                </c:pt>
                <c:pt idx="12">
                  <c:v>-0.13920000000507571</c:v>
                </c:pt>
                <c:pt idx="13">
                  <c:v>-0.1418199999970966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56-43DD-A928-DB9CCDCAE76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4">
                    <c:v>1.0999999999999999E-2</c:v>
                  </c:pt>
                  <c:pt idx="7">
                    <c:v>7.7000000000000002E-3</c:v>
                  </c:pt>
                  <c:pt idx="8">
                    <c:v>7.7000000000000002E-3</c:v>
                  </c:pt>
                  <c:pt idx="9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4">
                    <c:v>1.0999999999999999E-2</c:v>
                  </c:pt>
                  <c:pt idx="7">
                    <c:v>7.7000000000000002E-3</c:v>
                  </c:pt>
                  <c:pt idx="8">
                    <c:v>7.7000000000000002E-3</c:v>
                  </c:pt>
                  <c:pt idx="9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12476</c:v>
                </c:pt>
                <c:pt idx="2">
                  <c:v>12476</c:v>
                </c:pt>
                <c:pt idx="3">
                  <c:v>12871</c:v>
                </c:pt>
                <c:pt idx="4">
                  <c:v>13204</c:v>
                </c:pt>
                <c:pt idx="5">
                  <c:v>13247</c:v>
                </c:pt>
                <c:pt idx="6">
                  <c:v>14073</c:v>
                </c:pt>
                <c:pt idx="7">
                  <c:v>14740</c:v>
                </c:pt>
                <c:pt idx="8">
                  <c:v>14740</c:v>
                </c:pt>
                <c:pt idx="9">
                  <c:v>15217</c:v>
                </c:pt>
                <c:pt idx="10">
                  <c:v>17083</c:v>
                </c:pt>
                <c:pt idx="11">
                  <c:v>17915</c:v>
                </c:pt>
                <c:pt idx="12">
                  <c:v>18280</c:v>
                </c:pt>
                <c:pt idx="13">
                  <c:v>18344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56-43DD-A928-DB9CCDCAE76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4">
                    <c:v>1.0999999999999999E-2</c:v>
                  </c:pt>
                  <c:pt idx="7">
                    <c:v>7.7000000000000002E-3</c:v>
                  </c:pt>
                  <c:pt idx="8">
                    <c:v>7.7000000000000002E-3</c:v>
                  </c:pt>
                  <c:pt idx="9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4">
                    <c:v>1.0999999999999999E-2</c:v>
                  </c:pt>
                  <c:pt idx="7">
                    <c:v>7.7000000000000002E-3</c:v>
                  </c:pt>
                  <c:pt idx="8">
                    <c:v>7.7000000000000002E-3</c:v>
                  </c:pt>
                  <c:pt idx="9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12476</c:v>
                </c:pt>
                <c:pt idx="2">
                  <c:v>12476</c:v>
                </c:pt>
                <c:pt idx="3">
                  <c:v>12871</c:v>
                </c:pt>
                <c:pt idx="4">
                  <c:v>13204</c:v>
                </c:pt>
                <c:pt idx="5">
                  <c:v>13247</c:v>
                </c:pt>
                <c:pt idx="6">
                  <c:v>14073</c:v>
                </c:pt>
                <c:pt idx="7">
                  <c:v>14740</c:v>
                </c:pt>
                <c:pt idx="8">
                  <c:v>14740</c:v>
                </c:pt>
                <c:pt idx="9">
                  <c:v>15217</c:v>
                </c:pt>
                <c:pt idx="10">
                  <c:v>17083</c:v>
                </c:pt>
                <c:pt idx="11">
                  <c:v>17915</c:v>
                </c:pt>
                <c:pt idx="12">
                  <c:v>18280</c:v>
                </c:pt>
                <c:pt idx="13">
                  <c:v>18344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56-43DD-A928-DB9CCDCAE76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4">
                    <c:v>1.0999999999999999E-2</c:v>
                  </c:pt>
                  <c:pt idx="7">
                    <c:v>7.7000000000000002E-3</c:v>
                  </c:pt>
                  <c:pt idx="8">
                    <c:v>7.7000000000000002E-3</c:v>
                  </c:pt>
                  <c:pt idx="9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8.9999999999999998E-4</c:v>
                  </c:pt>
                  <c:pt idx="3">
                    <c:v>1.4E-3</c:v>
                  </c:pt>
                  <c:pt idx="4">
                    <c:v>1.0999999999999999E-2</c:v>
                  </c:pt>
                  <c:pt idx="7">
                    <c:v>7.7000000000000002E-3</c:v>
                  </c:pt>
                  <c:pt idx="8">
                    <c:v>7.7000000000000002E-3</c:v>
                  </c:pt>
                  <c:pt idx="9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12476</c:v>
                </c:pt>
                <c:pt idx="2">
                  <c:v>12476</c:v>
                </c:pt>
                <c:pt idx="3">
                  <c:v>12871</c:v>
                </c:pt>
                <c:pt idx="4">
                  <c:v>13204</c:v>
                </c:pt>
                <c:pt idx="5">
                  <c:v>13247</c:v>
                </c:pt>
                <c:pt idx="6">
                  <c:v>14073</c:v>
                </c:pt>
                <c:pt idx="7">
                  <c:v>14740</c:v>
                </c:pt>
                <c:pt idx="8">
                  <c:v>14740</c:v>
                </c:pt>
                <c:pt idx="9">
                  <c:v>15217</c:v>
                </c:pt>
                <c:pt idx="10">
                  <c:v>17083</c:v>
                </c:pt>
                <c:pt idx="11">
                  <c:v>17915</c:v>
                </c:pt>
                <c:pt idx="12">
                  <c:v>18280</c:v>
                </c:pt>
                <c:pt idx="13">
                  <c:v>18344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56-43DD-A928-DB9CCDCAE76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12476</c:v>
                </c:pt>
                <c:pt idx="2">
                  <c:v>12476</c:v>
                </c:pt>
                <c:pt idx="3">
                  <c:v>12871</c:v>
                </c:pt>
                <c:pt idx="4">
                  <c:v>13204</c:v>
                </c:pt>
                <c:pt idx="5">
                  <c:v>13247</c:v>
                </c:pt>
                <c:pt idx="6">
                  <c:v>14073</c:v>
                </c:pt>
                <c:pt idx="7">
                  <c:v>14740</c:v>
                </c:pt>
                <c:pt idx="8">
                  <c:v>14740</c:v>
                </c:pt>
                <c:pt idx="9">
                  <c:v>15217</c:v>
                </c:pt>
                <c:pt idx="10">
                  <c:v>17083</c:v>
                </c:pt>
                <c:pt idx="11">
                  <c:v>17915</c:v>
                </c:pt>
                <c:pt idx="12">
                  <c:v>18280</c:v>
                </c:pt>
                <c:pt idx="13">
                  <c:v>18344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-2.3549488071524516E-3</c:v>
                </c:pt>
                <c:pt idx="1">
                  <c:v>-9.7484365803016018E-2</c:v>
                </c:pt>
                <c:pt idx="2">
                  <c:v>-9.7484365803016018E-2</c:v>
                </c:pt>
                <c:pt idx="3">
                  <c:v>-0.1004962381750396</c:v>
                </c:pt>
                <c:pt idx="4">
                  <c:v>-0.10303536095955568</c:v>
                </c:pt>
                <c:pt idx="5">
                  <c:v>-0.10336323567347216</c:v>
                </c:pt>
                <c:pt idx="6">
                  <c:v>-0.10966148017800753</c:v>
                </c:pt>
                <c:pt idx="7">
                  <c:v>-0.11474735074038658</c:v>
                </c:pt>
                <c:pt idx="8">
                  <c:v>-0.11474735074038658</c:v>
                </c:pt>
                <c:pt idx="9">
                  <c:v>-0.11838447256685555</c:v>
                </c:pt>
                <c:pt idx="10">
                  <c:v>-0.13261271015216186</c:v>
                </c:pt>
                <c:pt idx="11">
                  <c:v>-0.13895670461677859</c:v>
                </c:pt>
                <c:pt idx="12">
                  <c:v>-0.14173982718839531</c:v>
                </c:pt>
                <c:pt idx="13">
                  <c:v>-0.1422278267625966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56-43DD-A928-DB9CCDCAE76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12476</c:v>
                </c:pt>
                <c:pt idx="2">
                  <c:v>12476</c:v>
                </c:pt>
                <c:pt idx="3">
                  <c:v>12871</c:v>
                </c:pt>
                <c:pt idx="4">
                  <c:v>13204</c:v>
                </c:pt>
                <c:pt idx="5">
                  <c:v>13247</c:v>
                </c:pt>
                <c:pt idx="6">
                  <c:v>14073</c:v>
                </c:pt>
                <c:pt idx="7">
                  <c:v>14740</c:v>
                </c:pt>
                <c:pt idx="8">
                  <c:v>14740</c:v>
                </c:pt>
                <c:pt idx="9">
                  <c:v>15217</c:v>
                </c:pt>
                <c:pt idx="10">
                  <c:v>17083</c:v>
                </c:pt>
                <c:pt idx="11">
                  <c:v>17915</c:v>
                </c:pt>
                <c:pt idx="12">
                  <c:v>18280</c:v>
                </c:pt>
                <c:pt idx="13">
                  <c:v>18344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">
                  <c:v>-3.7279999996826518E-2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56-43DD-A928-DB9CCDCAE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456832"/>
        <c:axId val="1"/>
      </c:scatterChart>
      <c:valAx>
        <c:axId val="3894568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9755480106271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456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243323442136499"/>
          <c:y val="0.9204921861831491"/>
          <c:w val="0.8145400593471809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247650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C24F1ABA-966A-D952-5E54-CF2603AD6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533400</xdr:colOff>
      <xdr:row>0</xdr:row>
      <xdr:rowOff>0</xdr:rowOff>
    </xdr:from>
    <xdr:to>
      <xdr:col>27</xdr:col>
      <xdr:colOff>95250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1B0C68F9-3827-7F48-7330-DE3780763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592" TargetMode="External"/><Relationship Id="rId7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5583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51</v>
      </c>
    </row>
    <row r="2" spans="1:6" s="32" customFormat="1" ht="12.95" customHeight="1" x14ac:dyDescent="0.2">
      <c r="A2" s="32" t="s">
        <v>24</v>
      </c>
      <c r="B2" s="10" t="s">
        <v>40</v>
      </c>
    </row>
    <row r="3" spans="1:6" s="32" customFormat="1" ht="12.95" customHeight="1" thickBot="1" x14ac:dyDescent="0.25">
      <c r="A3" s="33" t="s">
        <v>34</v>
      </c>
    </row>
    <row r="4" spans="1:6" s="32" customFormat="1" ht="12.95" customHeight="1" thickTop="1" thickBot="1" x14ac:dyDescent="0.25">
      <c r="A4" s="34" t="s">
        <v>0</v>
      </c>
      <c r="C4" s="35">
        <v>38901.411</v>
      </c>
      <c r="D4" s="36">
        <v>0.93428</v>
      </c>
    </row>
    <row r="5" spans="1:6" s="32" customFormat="1" ht="12.95" customHeight="1" thickTop="1" x14ac:dyDescent="0.2">
      <c r="A5" s="37" t="s">
        <v>42</v>
      </c>
      <c r="C5" s="38">
        <v>-9.5</v>
      </c>
      <c r="D5" s="32" t="s">
        <v>43</v>
      </c>
    </row>
    <row r="6" spans="1:6" s="32" customFormat="1" ht="12.95" customHeight="1" x14ac:dyDescent="0.2">
      <c r="A6" s="34" t="s">
        <v>1</v>
      </c>
    </row>
    <row r="7" spans="1:6" s="32" customFormat="1" ht="12.95" customHeight="1" x14ac:dyDescent="0.2">
      <c r="A7" s="32" t="s">
        <v>2</v>
      </c>
      <c r="C7" s="32">
        <f>+C4</f>
        <v>38901.411</v>
      </c>
    </row>
    <row r="8" spans="1:6" s="32" customFormat="1" ht="12.95" customHeight="1" x14ac:dyDescent="0.2">
      <c r="A8" s="32" t="s">
        <v>3</v>
      </c>
      <c r="C8" s="32">
        <f>+D4</f>
        <v>0.93428</v>
      </c>
    </row>
    <row r="9" spans="1:6" s="32" customFormat="1" ht="12.95" customHeight="1" x14ac:dyDescent="0.2">
      <c r="A9" s="39" t="s">
        <v>47</v>
      </c>
      <c r="B9" s="40">
        <v>21</v>
      </c>
      <c r="C9" s="41" t="str">
        <f>"F"&amp;B9</f>
        <v>F21</v>
      </c>
      <c r="D9" s="42" t="str">
        <f>"G"&amp;B9</f>
        <v>G21</v>
      </c>
    </row>
    <row r="10" spans="1:6" s="32" customFormat="1" ht="12.95" customHeight="1" thickBot="1" x14ac:dyDescent="0.25">
      <c r="C10" s="43" t="s">
        <v>20</v>
      </c>
      <c r="D10" s="43" t="s">
        <v>21</v>
      </c>
    </row>
    <row r="11" spans="1:6" s="32" customFormat="1" ht="12.95" customHeight="1" x14ac:dyDescent="0.2">
      <c r="A11" s="32" t="s">
        <v>16</v>
      </c>
      <c r="C11" s="42">
        <f ca="1">INTERCEPT(INDIRECT($D$9):G992,INDIRECT($C$9):F992)</f>
        <v>-2.3549488071524516E-3</v>
      </c>
      <c r="D11" s="44"/>
    </row>
    <row r="12" spans="1:6" s="32" customFormat="1" ht="12.95" customHeight="1" x14ac:dyDescent="0.2">
      <c r="A12" s="32" t="s">
        <v>17</v>
      </c>
      <c r="C12" s="42">
        <f ca="1">SLOPE(INDIRECT($D$9):G992,INDIRECT($C$9):F992)</f>
        <v>-7.6249933468951241E-6</v>
      </c>
      <c r="D12" s="44"/>
    </row>
    <row r="13" spans="1:6" s="32" customFormat="1" ht="12.95" customHeight="1" x14ac:dyDescent="0.2">
      <c r="A13" s="32" t="s">
        <v>19</v>
      </c>
      <c r="C13" s="44" t="s">
        <v>14</v>
      </c>
    </row>
    <row r="14" spans="1:6" s="32" customFormat="1" ht="12.95" customHeight="1" x14ac:dyDescent="0.2"/>
    <row r="15" spans="1:6" s="32" customFormat="1" ht="12.95" customHeight="1" x14ac:dyDescent="0.2">
      <c r="A15" s="45" t="s">
        <v>18</v>
      </c>
      <c r="C15" s="46">
        <f ca="1">(C7+C11)+(C8+C12)*INT(MAX(F21:F3533))</f>
        <v>56039.701092173229</v>
      </c>
      <c r="E15" s="47" t="s">
        <v>48</v>
      </c>
      <c r="F15" s="38">
        <v>1</v>
      </c>
    </row>
    <row r="16" spans="1:6" s="32" customFormat="1" ht="12.95" customHeight="1" x14ac:dyDescent="0.2">
      <c r="A16" s="34" t="s">
        <v>4</v>
      </c>
      <c r="C16" s="48">
        <f ca="1">+C8+C12</f>
        <v>0.93427237500665306</v>
      </c>
      <c r="E16" s="47" t="s">
        <v>44</v>
      </c>
      <c r="F16" s="49">
        <f ca="1">NOW()+15018.5+$C$5/24</f>
        <v>60378.78299756944</v>
      </c>
    </row>
    <row r="17" spans="1:31" s="32" customFormat="1" ht="12.95" customHeight="1" thickBot="1" x14ac:dyDescent="0.25">
      <c r="A17" s="47" t="s">
        <v>41</v>
      </c>
      <c r="C17" s="32">
        <f>COUNT(C21:C2191)</f>
        <v>14</v>
      </c>
      <c r="E17" s="47" t="s">
        <v>49</v>
      </c>
      <c r="F17" s="49">
        <f ca="1">ROUND(2*(F16-$C$7)/$C$8,0)/2+F15</f>
        <v>22989</v>
      </c>
    </row>
    <row r="18" spans="1:31" s="32" customFormat="1" ht="12.95" customHeight="1" thickTop="1" thickBot="1" x14ac:dyDescent="0.25">
      <c r="A18" s="34" t="s">
        <v>5</v>
      </c>
      <c r="C18" s="35">
        <f ca="1">+C15</f>
        <v>56039.701092173229</v>
      </c>
      <c r="D18" s="36">
        <f ca="1">+C16</f>
        <v>0.93427237500665306</v>
      </c>
      <c r="E18" s="47" t="s">
        <v>45</v>
      </c>
      <c r="F18" s="42">
        <f ca="1">ROUND(2*(F16-$C$15)/$C$16,0)/2+F15</f>
        <v>4645.5</v>
      </c>
    </row>
    <row r="19" spans="1:31" s="32" customFormat="1" ht="12.95" customHeight="1" thickTop="1" x14ac:dyDescent="0.2">
      <c r="E19" s="47" t="s">
        <v>46</v>
      </c>
      <c r="F19" s="50">
        <f ca="1">+$C$15+$C$16*F18-15018.5-$C$5/24</f>
        <v>45361.759243599969</v>
      </c>
    </row>
    <row r="20" spans="1:31" s="32" customFormat="1" ht="12.95" customHeight="1" thickBot="1" x14ac:dyDescent="0.25">
      <c r="A20" s="43" t="s">
        <v>6</v>
      </c>
      <c r="B20" s="43" t="s">
        <v>7</v>
      </c>
      <c r="C20" s="43" t="s">
        <v>8</v>
      </c>
      <c r="D20" s="43" t="s">
        <v>13</v>
      </c>
      <c r="E20" s="43" t="s">
        <v>9</v>
      </c>
      <c r="F20" s="43" t="s">
        <v>10</v>
      </c>
      <c r="G20" s="43" t="s">
        <v>11</v>
      </c>
      <c r="H20" s="51" t="s">
        <v>12</v>
      </c>
      <c r="I20" s="51" t="s">
        <v>114</v>
      </c>
      <c r="J20" s="51" t="s">
        <v>113</v>
      </c>
      <c r="K20" s="51" t="s">
        <v>55</v>
      </c>
      <c r="L20" s="51" t="s">
        <v>25</v>
      </c>
      <c r="M20" s="51" t="s">
        <v>26</v>
      </c>
      <c r="N20" s="51" t="s">
        <v>27</v>
      </c>
      <c r="O20" s="51" t="s">
        <v>23</v>
      </c>
      <c r="P20" s="52" t="s">
        <v>22</v>
      </c>
      <c r="Q20" s="43" t="s">
        <v>15</v>
      </c>
      <c r="U20" s="53" t="s">
        <v>112</v>
      </c>
    </row>
    <row r="21" spans="1:31" s="32" customFormat="1" ht="12.95" customHeight="1" x14ac:dyDescent="0.2">
      <c r="A21" s="32" t="s">
        <v>12</v>
      </c>
      <c r="C21" s="54">
        <v>38901.411</v>
      </c>
      <c r="D21" s="54" t="s">
        <v>14</v>
      </c>
      <c r="E21" s="32">
        <f t="shared" ref="E21:E34" si="0">+(C21-C$7)/C$8</f>
        <v>0</v>
      </c>
      <c r="F21" s="32">
        <f t="shared" ref="F21:F34" si="1">ROUND(2*E21,0)/2</f>
        <v>0</v>
      </c>
      <c r="G21" s="32">
        <f>+C21-(C$7+F21*C$8)</f>
        <v>0</v>
      </c>
      <c r="H21" s="32">
        <f>+G21</f>
        <v>0</v>
      </c>
      <c r="O21" s="32">
        <f t="shared" ref="O21:O34" ca="1" si="2">+C$11+C$12*F21</f>
        <v>-2.3549488071524516E-3</v>
      </c>
      <c r="Q21" s="55">
        <f t="shared" ref="Q21:Q34" si="3">+C21-15018.5</f>
        <v>23882.911</v>
      </c>
    </row>
    <row r="22" spans="1:31" s="32" customFormat="1" ht="12.95" customHeight="1" x14ac:dyDescent="0.2">
      <c r="A22" s="32" t="s">
        <v>29</v>
      </c>
      <c r="C22" s="54">
        <v>50557.387999999999</v>
      </c>
      <c r="D22" s="54">
        <v>8.9999999999999998E-4</v>
      </c>
      <c r="E22" s="32">
        <f t="shared" si="0"/>
        <v>12475.892666010188</v>
      </c>
      <c r="F22" s="32">
        <f t="shared" si="1"/>
        <v>12476</v>
      </c>
      <c r="G22" s="32">
        <f>+C22-(C$7+F22*C$8)</f>
        <v>-0.10027999999874737</v>
      </c>
      <c r="I22" s="32">
        <f>+G22</f>
        <v>-0.10027999999874737</v>
      </c>
      <c r="O22" s="32">
        <f t="shared" ca="1" si="2"/>
        <v>-9.7484365803016018E-2</v>
      </c>
      <c r="Q22" s="55">
        <f t="shared" si="3"/>
        <v>35538.887999999999</v>
      </c>
      <c r="AA22" s="32">
        <v>12</v>
      </c>
      <c r="AC22" s="32" t="s">
        <v>28</v>
      </c>
      <c r="AE22" s="32" t="s">
        <v>30</v>
      </c>
    </row>
    <row r="23" spans="1:31" s="32" customFormat="1" ht="12.95" customHeight="1" x14ac:dyDescent="0.2">
      <c r="A23" s="56" t="s">
        <v>70</v>
      </c>
      <c r="B23" s="57" t="s">
        <v>33</v>
      </c>
      <c r="C23" s="58">
        <v>50557.388899999998</v>
      </c>
      <c r="D23" s="54"/>
      <c r="E23" s="32">
        <f t="shared" si="0"/>
        <v>12475.893629318831</v>
      </c>
      <c r="F23" s="32">
        <f t="shared" si="1"/>
        <v>12476</v>
      </c>
      <c r="G23" s="32">
        <f>+C23-(C$7+F23*C$8)</f>
        <v>-9.9379999999655411E-2</v>
      </c>
      <c r="I23" s="32">
        <f>G23</f>
        <v>-9.9379999999655411E-2</v>
      </c>
      <c r="O23" s="32">
        <f t="shared" ca="1" si="2"/>
        <v>-9.7484365803016018E-2</v>
      </c>
      <c r="Q23" s="55">
        <f t="shared" si="3"/>
        <v>35538.888899999998</v>
      </c>
    </row>
    <row r="24" spans="1:31" s="32" customFormat="1" ht="12.95" customHeight="1" x14ac:dyDescent="0.2">
      <c r="A24" s="32" t="s">
        <v>31</v>
      </c>
      <c r="B24" s="42" t="s">
        <v>35</v>
      </c>
      <c r="C24" s="59">
        <v>50926.491600000001</v>
      </c>
      <c r="D24" s="54">
        <v>1.4E-3</v>
      </c>
      <c r="E24" s="32">
        <f t="shared" si="0"/>
        <v>12870.960097615278</v>
      </c>
      <c r="F24" s="32">
        <f t="shared" si="1"/>
        <v>12871</v>
      </c>
      <c r="O24" s="32">
        <f t="shared" ca="1" si="2"/>
        <v>-0.1004962381750396</v>
      </c>
      <c r="Q24" s="55">
        <f t="shared" si="3"/>
        <v>35907.991600000001</v>
      </c>
      <c r="U24" s="42">
        <v>-3.7279999996826518E-2</v>
      </c>
      <c r="AA24" s="32">
        <v>11</v>
      </c>
      <c r="AC24" s="32" t="s">
        <v>28</v>
      </c>
      <c r="AE24" s="32" t="s">
        <v>30</v>
      </c>
    </row>
    <row r="25" spans="1:31" x14ac:dyDescent="0.2">
      <c r="A25" t="s">
        <v>32</v>
      </c>
      <c r="B25" s="3" t="s">
        <v>33</v>
      </c>
      <c r="C25" s="7">
        <v>51237.536999999997</v>
      </c>
      <c r="D25" s="7">
        <v>1.0999999999999999E-2</v>
      </c>
      <c r="E25">
        <f t="shared" si="0"/>
        <v>13203.885344864491</v>
      </c>
      <c r="F25">
        <f t="shared" si="1"/>
        <v>13204</v>
      </c>
      <c r="G25">
        <f t="shared" ref="G25:G34" si="4">+C25-(C$7+F25*C$8)</f>
        <v>-0.10712000000057742</v>
      </c>
      <c r="J25">
        <f>+G25</f>
        <v>-0.10712000000057742</v>
      </c>
      <c r="O25">
        <f t="shared" ca="1" si="2"/>
        <v>-0.10303536095955568</v>
      </c>
      <c r="Q25" s="2">
        <f t="shared" si="3"/>
        <v>36219.036999999997</v>
      </c>
    </row>
    <row r="26" spans="1:31" x14ac:dyDescent="0.2">
      <c r="A26" t="s">
        <v>36</v>
      </c>
      <c r="B26" t="s">
        <v>33</v>
      </c>
      <c r="C26" s="7">
        <v>51277.713300000003</v>
      </c>
      <c r="D26" s="7"/>
      <c r="E26">
        <f t="shared" si="0"/>
        <v>13246.887763839537</v>
      </c>
      <c r="F26">
        <f t="shared" si="1"/>
        <v>13247</v>
      </c>
      <c r="G26">
        <f t="shared" si="4"/>
        <v>-0.10485999999946216</v>
      </c>
      <c r="K26">
        <f>G26</f>
        <v>-0.10485999999946216</v>
      </c>
      <c r="O26">
        <f t="shared" ca="1" si="2"/>
        <v>-0.10336323567347216</v>
      </c>
      <c r="Q26" s="2">
        <f t="shared" si="3"/>
        <v>36259.213300000003</v>
      </c>
    </row>
    <row r="27" spans="1:31" x14ac:dyDescent="0.2">
      <c r="A27" t="s">
        <v>37</v>
      </c>
      <c r="C27" s="7">
        <v>52049.422599999998</v>
      </c>
      <c r="D27" s="7"/>
      <c r="E27">
        <f t="shared" si="0"/>
        <v>14072.881363188764</v>
      </c>
      <c r="F27">
        <f t="shared" si="1"/>
        <v>14073</v>
      </c>
      <c r="G27">
        <f t="shared" si="4"/>
        <v>-0.11084000000118976</v>
      </c>
      <c r="K27">
        <f>G27</f>
        <v>-0.11084000000118976</v>
      </c>
      <c r="O27">
        <f t="shared" ca="1" si="2"/>
        <v>-0.10966148017800753</v>
      </c>
      <c r="Q27" s="2">
        <f t="shared" si="3"/>
        <v>37030.922599999998</v>
      </c>
    </row>
    <row r="28" spans="1:31" x14ac:dyDescent="0.2">
      <c r="A28" s="5" t="s">
        <v>38</v>
      </c>
      <c r="B28" s="4" t="s">
        <v>33</v>
      </c>
      <c r="C28" s="7">
        <v>52672.585700000003</v>
      </c>
      <c r="D28" s="8">
        <v>7.7000000000000002E-3</v>
      </c>
      <c r="E28">
        <f t="shared" si="0"/>
        <v>14739.879586419493</v>
      </c>
      <c r="F28">
        <f t="shared" si="1"/>
        <v>14740</v>
      </c>
      <c r="G28">
        <f t="shared" si="4"/>
        <v>-0.11249999999563443</v>
      </c>
      <c r="K28">
        <f>G28</f>
        <v>-0.11249999999563443</v>
      </c>
      <c r="O28">
        <f t="shared" ca="1" si="2"/>
        <v>-0.11474735074038658</v>
      </c>
      <c r="Q28" s="2">
        <f t="shared" si="3"/>
        <v>37654.085700000003</v>
      </c>
    </row>
    <row r="29" spans="1:31" x14ac:dyDescent="0.2">
      <c r="A29" s="5" t="s">
        <v>38</v>
      </c>
      <c r="B29" s="4" t="s">
        <v>33</v>
      </c>
      <c r="C29" s="7">
        <v>52672.585700000003</v>
      </c>
      <c r="D29" s="7">
        <v>7.7000000000000002E-3</v>
      </c>
      <c r="E29">
        <f t="shared" si="0"/>
        <v>14739.879586419493</v>
      </c>
      <c r="F29">
        <f t="shared" si="1"/>
        <v>14740</v>
      </c>
      <c r="G29">
        <f t="shared" si="4"/>
        <v>-0.11249999999563443</v>
      </c>
      <c r="K29">
        <f>G29</f>
        <v>-0.11249999999563443</v>
      </c>
      <c r="O29">
        <f t="shared" ca="1" si="2"/>
        <v>-0.11474735074038658</v>
      </c>
      <c r="Q29" s="2">
        <f t="shared" si="3"/>
        <v>37654.085700000003</v>
      </c>
    </row>
    <row r="30" spans="1:31" x14ac:dyDescent="0.2">
      <c r="A30" s="10" t="s">
        <v>39</v>
      </c>
      <c r="B30" s="11"/>
      <c r="C30" s="6">
        <v>53118.231599999999</v>
      </c>
      <c r="D30" s="6">
        <v>2.9999999999999997E-4</v>
      </c>
      <c r="E30">
        <f t="shared" si="0"/>
        <v>15216.87352827846</v>
      </c>
      <c r="F30">
        <f t="shared" si="1"/>
        <v>15217</v>
      </c>
      <c r="G30">
        <f t="shared" si="4"/>
        <v>-0.11815999999816995</v>
      </c>
      <c r="K30">
        <f>G30</f>
        <v>-0.11815999999816995</v>
      </c>
      <c r="O30">
        <f t="shared" ca="1" si="2"/>
        <v>-0.11838447256685555</v>
      </c>
      <c r="Q30" s="2">
        <f t="shared" si="3"/>
        <v>38099.731599999999</v>
      </c>
    </row>
    <row r="31" spans="1:31" x14ac:dyDescent="0.2">
      <c r="A31" s="29" t="s">
        <v>100</v>
      </c>
      <c r="B31" s="31" t="s">
        <v>33</v>
      </c>
      <c r="C31" s="30">
        <v>54861.584000000003</v>
      </c>
      <c r="D31" s="7"/>
      <c r="E31">
        <f t="shared" si="0"/>
        <v>17082.858457849899</v>
      </c>
      <c r="F31">
        <f t="shared" si="1"/>
        <v>17083</v>
      </c>
      <c r="G31">
        <f t="shared" si="4"/>
        <v>-0.13223999999900116</v>
      </c>
      <c r="I31">
        <f>G31</f>
        <v>-0.13223999999900116</v>
      </c>
      <c r="O31">
        <f t="shared" ca="1" si="2"/>
        <v>-0.13261271015216186</v>
      </c>
      <c r="Q31" s="2">
        <f t="shared" si="3"/>
        <v>39843.084000000003</v>
      </c>
    </row>
    <row r="32" spans="1:31" x14ac:dyDescent="0.2">
      <c r="A32" s="10" t="s">
        <v>50</v>
      </c>
      <c r="B32" s="12" t="s">
        <v>33</v>
      </c>
      <c r="C32" s="10">
        <v>55638.899299999997</v>
      </c>
      <c r="D32" s="10">
        <v>5.0000000000000001E-4</v>
      </c>
      <c r="E32">
        <f t="shared" si="0"/>
        <v>17914.852399708863</v>
      </c>
      <c r="F32">
        <f t="shared" si="1"/>
        <v>17915</v>
      </c>
      <c r="G32">
        <f t="shared" si="4"/>
        <v>-0.13790000000153668</v>
      </c>
      <c r="K32">
        <f>G32</f>
        <v>-0.13790000000153668</v>
      </c>
      <c r="O32">
        <f t="shared" ca="1" si="2"/>
        <v>-0.13895670461677859</v>
      </c>
      <c r="Q32" s="2">
        <f t="shared" si="3"/>
        <v>40620.399299999997</v>
      </c>
    </row>
    <row r="33" spans="1:17" x14ac:dyDescent="0.2">
      <c r="A33" s="13" t="s">
        <v>52</v>
      </c>
      <c r="B33" s="14" t="s">
        <v>33</v>
      </c>
      <c r="C33" s="13">
        <v>55979.910199999998</v>
      </c>
      <c r="D33" s="13">
        <v>2.9999999999999997E-4</v>
      </c>
      <c r="E33">
        <f t="shared" si="0"/>
        <v>18279.851008263046</v>
      </c>
      <c r="F33">
        <f t="shared" si="1"/>
        <v>18280</v>
      </c>
      <c r="G33">
        <f t="shared" si="4"/>
        <v>-0.13920000000507571</v>
      </c>
      <c r="K33">
        <f>G33</f>
        <v>-0.13920000000507571</v>
      </c>
      <c r="O33">
        <f t="shared" ca="1" si="2"/>
        <v>-0.14173982718839531</v>
      </c>
      <c r="Q33" s="2">
        <f t="shared" si="3"/>
        <v>40961.410199999998</v>
      </c>
    </row>
    <row r="34" spans="1:17" x14ac:dyDescent="0.2">
      <c r="A34" s="13" t="s">
        <v>52</v>
      </c>
      <c r="B34" s="14" t="s">
        <v>33</v>
      </c>
      <c r="C34" s="13">
        <v>56039.701500000003</v>
      </c>
      <c r="D34" s="13">
        <v>2.0000000000000001E-4</v>
      </c>
      <c r="E34">
        <f t="shared" si="0"/>
        <v>18343.848203964553</v>
      </c>
      <c r="F34">
        <f t="shared" si="1"/>
        <v>18344</v>
      </c>
      <c r="G34">
        <f t="shared" si="4"/>
        <v>-0.1418199999970966</v>
      </c>
      <c r="K34">
        <f>G34</f>
        <v>-0.1418199999970966</v>
      </c>
      <c r="O34">
        <f t="shared" ca="1" si="2"/>
        <v>-0.1422278267625966</v>
      </c>
      <c r="Q34" s="2">
        <f t="shared" si="3"/>
        <v>41021.201500000003</v>
      </c>
    </row>
    <row r="35" spans="1:17" x14ac:dyDescent="0.2">
      <c r="C35" s="7"/>
      <c r="D35" s="7"/>
    </row>
    <row r="36" spans="1:17" x14ac:dyDescent="0.2">
      <c r="C36" s="7"/>
      <c r="D36" s="7"/>
    </row>
    <row r="37" spans="1:17" x14ac:dyDescent="0.2">
      <c r="C37" s="7"/>
      <c r="D37" s="7"/>
    </row>
    <row r="38" spans="1:17" x14ac:dyDescent="0.2">
      <c r="C38" s="7"/>
      <c r="D38" s="7"/>
    </row>
    <row r="39" spans="1:17" x14ac:dyDescent="0.2">
      <c r="C39" s="7"/>
      <c r="D39" s="7"/>
    </row>
    <row r="40" spans="1:17" x14ac:dyDescent="0.2">
      <c r="C40" s="7"/>
      <c r="D40" s="7"/>
    </row>
    <row r="41" spans="1:17" x14ac:dyDescent="0.2">
      <c r="C41" s="7"/>
      <c r="D41" s="7"/>
    </row>
    <row r="42" spans="1:17" x14ac:dyDescent="0.2">
      <c r="C42" s="7"/>
      <c r="D42" s="7"/>
    </row>
    <row r="43" spans="1:17" x14ac:dyDescent="0.2">
      <c r="C43" s="7"/>
      <c r="D43" s="7"/>
    </row>
    <row r="44" spans="1:17" x14ac:dyDescent="0.2">
      <c r="C44" s="7"/>
      <c r="D44" s="7"/>
    </row>
    <row r="45" spans="1:17" x14ac:dyDescent="0.2">
      <c r="C45" s="7"/>
      <c r="D45" s="7"/>
    </row>
    <row r="46" spans="1:17" x14ac:dyDescent="0.2">
      <c r="C46" s="7"/>
      <c r="D46" s="7"/>
    </row>
    <row r="47" spans="1:17" x14ac:dyDescent="0.2">
      <c r="C47" s="7"/>
      <c r="D47" s="7"/>
    </row>
    <row r="48" spans="1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9"/>
  <sheetViews>
    <sheetView workbookViewId="0">
      <selection activeCell="A20" sqref="A20:C21"/>
    </sheetView>
  </sheetViews>
  <sheetFormatPr defaultRowHeight="12.75" x14ac:dyDescent="0.2"/>
  <cols>
    <col min="1" max="1" width="19.7109375" style="16" customWidth="1"/>
    <col min="2" max="2" width="4.42578125" style="9" customWidth="1"/>
    <col min="3" max="3" width="12.7109375" style="16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6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15" t="s">
        <v>53</v>
      </c>
      <c r="I1" s="17" t="s">
        <v>54</v>
      </c>
      <c r="J1" s="18" t="s">
        <v>55</v>
      </c>
    </row>
    <row r="2" spans="1:16" x14ac:dyDescent="0.2">
      <c r="I2" s="19" t="s">
        <v>56</v>
      </c>
      <c r="J2" s="20" t="s">
        <v>57</v>
      </c>
    </row>
    <row r="3" spans="1:16" x14ac:dyDescent="0.2">
      <c r="A3" s="21" t="s">
        <v>58</v>
      </c>
      <c r="I3" s="19" t="s">
        <v>59</v>
      </c>
      <c r="J3" s="20" t="s">
        <v>60</v>
      </c>
    </row>
    <row r="4" spans="1:16" x14ac:dyDescent="0.2">
      <c r="I4" s="19" t="s">
        <v>61</v>
      </c>
      <c r="J4" s="20" t="s">
        <v>60</v>
      </c>
    </row>
    <row r="5" spans="1:16" ht="13.5" thickBot="1" x14ac:dyDescent="0.25">
      <c r="I5" s="22" t="s">
        <v>62</v>
      </c>
      <c r="J5" s="23" t="s">
        <v>63</v>
      </c>
    </row>
    <row r="11" spans="1:16" ht="13.5" thickBot="1" x14ac:dyDescent="0.25"/>
    <row r="12" spans="1:16" ht="12.75" customHeight="1" thickBot="1" x14ac:dyDescent="0.25">
      <c r="A12" s="16" t="str">
        <f t="shared" ref="A12:A21" si="0">P12</f>
        <v> BBS 117 </v>
      </c>
      <c r="B12" s="3" t="str">
        <f t="shared" ref="B12:B21" si="1">IF(H12=INT(H12),"I","II")</f>
        <v>I</v>
      </c>
      <c r="C12" s="16">
        <f t="shared" ref="C12:C21" si="2">1*G12</f>
        <v>50926.491600000001</v>
      </c>
      <c r="D12" s="9" t="str">
        <f t="shared" ref="D12:D21" si="3">VLOOKUP(F12,I$1:J$5,2,FALSE)</f>
        <v>vis</v>
      </c>
      <c r="E12" s="24">
        <f>VLOOKUP(C12,Active!C$21:E$973,3,FALSE)</f>
        <v>12870.960097615278</v>
      </c>
      <c r="F12" s="3" t="s">
        <v>62</v>
      </c>
      <c r="G12" s="9" t="str">
        <f t="shared" ref="G12:G21" si="4">MID(I12,3,LEN(I12)-3)</f>
        <v>50926.4916</v>
      </c>
      <c r="H12" s="16">
        <f t="shared" ref="H12:H21" si="5">1*K12</f>
        <v>12871</v>
      </c>
      <c r="I12" s="25" t="s">
        <v>71</v>
      </c>
      <c r="J12" s="26" t="s">
        <v>72</v>
      </c>
      <c r="K12" s="25">
        <v>12871</v>
      </c>
      <c r="L12" s="25" t="s">
        <v>73</v>
      </c>
      <c r="M12" s="26" t="s">
        <v>67</v>
      </c>
      <c r="N12" s="26" t="s">
        <v>68</v>
      </c>
      <c r="O12" s="27" t="s">
        <v>69</v>
      </c>
      <c r="P12" s="27" t="s">
        <v>74</v>
      </c>
    </row>
    <row r="13" spans="1:16" ht="12.75" customHeight="1" thickBot="1" x14ac:dyDescent="0.25">
      <c r="A13" s="16" t="str">
        <f t="shared" si="0"/>
        <v>IBVS 5263 </v>
      </c>
      <c r="B13" s="3" t="str">
        <f t="shared" si="1"/>
        <v>I</v>
      </c>
      <c r="C13" s="16">
        <f t="shared" si="2"/>
        <v>51237.536999999997</v>
      </c>
      <c r="D13" s="9" t="str">
        <f t="shared" si="3"/>
        <v>vis</v>
      </c>
      <c r="E13" s="24">
        <f>VLOOKUP(C13,Active!C$21:E$973,3,FALSE)</f>
        <v>13203.885344864491</v>
      </c>
      <c r="F13" s="3" t="s">
        <v>62</v>
      </c>
      <c r="G13" s="9" t="str">
        <f t="shared" si="4"/>
        <v>51237.5370</v>
      </c>
      <c r="H13" s="16">
        <f t="shared" si="5"/>
        <v>13204</v>
      </c>
      <c r="I13" s="25" t="s">
        <v>75</v>
      </c>
      <c r="J13" s="26" t="s">
        <v>76</v>
      </c>
      <c r="K13" s="25">
        <v>13204</v>
      </c>
      <c r="L13" s="25" t="s">
        <v>77</v>
      </c>
      <c r="M13" s="26" t="s">
        <v>67</v>
      </c>
      <c r="N13" s="26" t="s">
        <v>68</v>
      </c>
      <c r="O13" s="27" t="s">
        <v>78</v>
      </c>
      <c r="P13" s="28" t="s">
        <v>79</v>
      </c>
    </row>
    <row r="14" spans="1:16" ht="12.75" customHeight="1" thickBot="1" x14ac:dyDescent="0.25">
      <c r="A14" s="16" t="str">
        <f t="shared" si="0"/>
        <v> BBS 125 </v>
      </c>
      <c r="B14" s="3" t="str">
        <f t="shared" si="1"/>
        <v>I</v>
      </c>
      <c r="C14" s="16">
        <f t="shared" si="2"/>
        <v>52049.422599999998</v>
      </c>
      <c r="D14" s="9" t="str">
        <f t="shared" si="3"/>
        <v>vis</v>
      </c>
      <c r="E14" s="24">
        <f>VLOOKUP(C14,Active!C$21:E$973,3,FALSE)</f>
        <v>14072.881363188764</v>
      </c>
      <c r="F14" s="3" t="s">
        <v>62</v>
      </c>
      <c r="G14" s="9" t="str">
        <f t="shared" si="4"/>
        <v>52049.4226</v>
      </c>
      <c r="H14" s="16">
        <f t="shared" si="5"/>
        <v>14073</v>
      </c>
      <c r="I14" s="25" t="s">
        <v>80</v>
      </c>
      <c r="J14" s="26" t="s">
        <v>81</v>
      </c>
      <c r="K14" s="25">
        <v>14073</v>
      </c>
      <c r="L14" s="25" t="s">
        <v>82</v>
      </c>
      <c r="M14" s="26" t="s">
        <v>67</v>
      </c>
      <c r="N14" s="26" t="s">
        <v>68</v>
      </c>
      <c r="O14" s="27" t="s">
        <v>69</v>
      </c>
      <c r="P14" s="27" t="s">
        <v>83</v>
      </c>
    </row>
    <row r="15" spans="1:16" ht="12.75" customHeight="1" thickBot="1" x14ac:dyDescent="0.25">
      <c r="A15" s="16" t="str">
        <f t="shared" si="0"/>
        <v>IBVS 5583 </v>
      </c>
      <c r="B15" s="3" t="str">
        <f t="shared" si="1"/>
        <v>I</v>
      </c>
      <c r="C15" s="16">
        <f t="shared" si="2"/>
        <v>52672.585700000003</v>
      </c>
      <c r="D15" s="9" t="str">
        <f t="shared" si="3"/>
        <v>vis</v>
      </c>
      <c r="E15" s="24">
        <f>VLOOKUP(C15,Active!C$21:E$973,3,FALSE)</f>
        <v>14739.879586419493</v>
      </c>
      <c r="F15" s="3" t="s">
        <v>62</v>
      </c>
      <c r="G15" s="9" t="str">
        <f t="shared" si="4"/>
        <v>52672.5857</v>
      </c>
      <c r="H15" s="16">
        <f t="shared" si="5"/>
        <v>14740</v>
      </c>
      <c r="I15" s="25" t="s">
        <v>84</v>
      </c>
      <c r="J15" s="26" t="s">
        <v>85</v>
      </c>
      <c r="K15" s="25">
        <v>14740</v>
      </c>
      <c r="L15" s="25" t="s">
        <v>86</v>
      </c>
      <c r="M15" s="26" t="s">
        <v>67</v>
      </c>
      <c r="N15" s="26" t="s">
        <v>87</v>
      </c>
      <c r="O15" s="27" t="s">
        <v>78</v>
      </c>
      <c r="P15" s="28" t="s">
        <v>88</v>
      </c>
    </row>
    <row r="16" spans="1:16" ht="12.75" customHeight="1" thickBot="1" x14ac:dyDescent="0.25">
      <c r="A16" s="16" t="str">
        <f t="shared" si="0"/>
        <v>IBVS 5592 </v>
      </c>
      <c r="B16" s="3" t="str">
        <f t="shared" si="1"/>
        <v>I</v>
      </c>
      <c r="C16" s="16">
        <f t="shared" si="2"/>
        <v>53118.231599999999</v>
      </c>
      <c r="D16" s="9" t="str">
        <f t="shared" si="3"/>
        <v>vis</v>
      </c>
      <c r="E16" s="24">
        <f>VLOOKUP(C16,Active!C$21:E$973,3,FALSE)</f>
        <v>15216.87352827846</v>
      </c>
      <c r="F16" s="3" t="s">
        <v>62</v>
      </c>
      <c r="G16" s="9" t="str">
        <f t="shared" si="4"/>
        <v>53118.2316</v>
      </c>
      <c r="H16" s="16">
        <f t="shared" si="5"/>
        <v>15217</v>
      </c>
      <c r="I16" s="25" t="s">
        <v>89</v>
      </c>
      <c r="J16" s="26" t="s">
        <v>90</v>
      </c>
      <c r="K16" s="25">
        <v>15217</v>
      </c>
      <c r="L16" s="25" t="s">
        <v>91</v>
      </c>
      <c r="M16" s="26" t="s">
        <v>67</v>
      </c>
      <c r="N16" s="26" t="s">
        <v>68</v>
      </c>
      <c r="O16" s="27" t="s">
        <v>92</v>
      </c>
      <c r="P16" s="28" t="s">
        <v>93</v>
      </c>
    </row>
    <row r="17" spans="1:16" ht="12.75" customHeight="1" thickBot="1" x14ac:dyDescent="0.25">
      <c r="A17" s="16" t="str">
        <f t="shared" si="0"/>
        <v>IBVS 5992 </v>
      </c>
      <c r="B17" s="3" t="str">
        <f t="shared" si="1"/>
        <v>I</v>
      </c>
      <c r="C17" s="16">
        <f t="shared" si="2"/>
        <v>55638.899299999997</v>
      </c>
      <c r="D17" s="9" t="str">
        <f t="shared" si="3"/>
        <v>vis</v>
      </c>
      <c r="E17" s="24">
        <f>VLOOKUP(C17,Active!C$21:E$973,3,FALSE)</f>
        <v>17914.852399708863</v>
      </c>
      <c r="F17" s="3" t="s">
        <v>62</v>
      </c>
      <c r="G17" s="9" t="str">
        <f t="shared" si="4"/>
        <v>55638.8993</v>
      </c>
      <c r="H17" s="16">
        <f t="shared" si="5"/>
        <v>17915</v>
      </c>
      <c r="I17" s="25" t="s">
        <v>101</v>
      </c>
      <c r="J17" s="26" t="s">
        <v>102</v>
      </c>
      <c r="K17" s="25">
        <v>17915</v>
      </c>
      <c r="L17" s="25" t="s">
        <v>103</v>
      </c>
      <c r="M17" s="26" t="s">
        <v>97</v>
      </c>
      <c r="N17" s="26" t="s">
        <v>62</v>
      </c>
      <c r="O17" s="27" t="s">
        <v>69</v>
      </c>
      <c r="P17" s="28" t="s">
        <v>104</v>
      </c>
    </row>
    <row r="18" spans="1:16" ht="12.75" customHeight="1" thickBot="1" x14ac:dyDescent="0.25">
      <c r="A18" s="16" t="str">
        <f t="shared" si="0"/>
        <v>IBVS 6029 </v>
      </c>
      <c r="B18" s="3" t="str">
        <f t="shared" si="1"/>
        <v>I</v>
      </c>
      <c r="C18" s="16">
        <f t="shared" si="2"/>
        <v>55979.910199999998</v>
      </c>
      <c r="D18" s="9" t="str">
        <f t="shared" si="3"/>
        <v>vis</v>
      </c>
      <c r="E18" s="24">
        <f>VLOOKUP(C18,Active!C$21:E$973,3,FALSE)</f>
        <v>18279.851008263046</v>
      </c>
      <c r="F18" s="3" t="s">
        <v>62</v>
      </c>
      <c r="G18" s="9" t="str">
        <f t="shared" si="4"/>
        <v>55979.9102</v>
      </c>
      <c r="H18" s="16">
        <f t="shared" si="5"/>
        <v>18280</v>
      </c>
      <c r="I18" s="25" t="s">
        <v>105</v>
      </c>
      <c r="J18" s="26" t="s">
        <v>106</v>
      </c>
      <c r="K18" s="25">
        <v>18280</v>
      </c>
      <c r="L18" s="25" t="s">
        <v>107</v>
      </c>
      <c r="M18" s="26" t="s">
        <v>97</v>
      </c>
      <c r="N18" s="26" t="s">
        <v>62</v>
      </c>
      <c r="O18" s="27" t="s">
        <v>69</v>
      </c>
      <c r="P18" s="28" t="s">
        <v>108</v>
      </c>
    </row>
    <row r="19" spans="1:16" ht="12.75" customHeight="1" thickBot="1" x14ac:dyDescent="0.25">
      <c r="A19" s="16" t="str">
        <f t="shared" si="0"/>
        <v>IBVS 6029 </v>
      </c>
      <c r="B19" s="3" t="str">
        <f t="shared" si="1"/>
        <v>I</v>
      </c>
      <c r="C19" s="16">
        <f t="shared" si="2"/>
        <v>56039.701500000003</v>
      </c>
      <c r="D19" s="9" t="str">
        <f t="shared" si="3"/>
        <v>vis</v>
      </c>
      <c r="E19" s="24">
        <f>VLOOKUP(C19,Active!C$21:E$973,3,FALSE)</f>
        <v>18343.848203964553</v>
      </c>
      <c r="F19" s="3" t="s">
        <v>62</v>
      </c>
      <c r="G19" s="9" t="str">
        <f t="shared" si="4"/>
        <v>56039.7015</v>
      </c>
      <c r="H19" s="16">
        <f t="shared" si="5"/>
        <v>18344</v>
      </c>
      <c r="I19" s="25" t="s">
        <v>109</v>
      </c>
      <c r="J19" s="26" t="s">
        <v>110</v>
      </c>
      <c r="K19" s="25">
        <v>18344</v>
      </c>
      <c r="L19" s="25" t="s">
        <v>111</v>
      </c>
      <c r="M19" s="26" t="s">
        <v>97</v>
      </c>
      <c r="N19" s="26" t="s">
        <v>62</v>
      </c>
      <c r="O19" s="27" t="s">
        <v>69</v>
      </c>
      <c r="P19" s="28" t="s">
        <v>108</v>
      </c>
    </row>
    <row r="20" spans="1:16" ht="12.75" customHeight="1" thickBot="1" x14ac:dyDescent="0.25">
      <c r="A20" s="16" t="str">
        <f t="shared" si="0"/>
        <v>BAVM 203 </v>
      </c>
      <c r="B20" s="3" t="str">
        <f t="shared" si="1"/>
        <v>I</v>
      </c>
      <c r="C20" s="16">
        <f t="shared" si="2"/>
        <v>54861.584000000003</v>
      </c>
      <c r="D20" s="9" t="str">
        <f t="shared" si="3"/>
        <v>vis</v>
      </c>
      <c r="E20" s="24">
        <f>VLOOKUP(C20,Active!C$21:E$973,3,FALSE)</f>
        <v>17082.858457849899</v>
      </c>
      <c r="F20" s="3" t="s">
        <v>62</v>
      </c>
      <c r="G20" s="9" t="str">
        <f t="shared" si="4"/>
        <v>54861.5840</v>
      </c>
      <c r="H20" s="16">
        <f t="shared" si="5"/>
        <v>17083</v>
      </c>
      <c r="I20" s="25" t="s">
        <v>94</v>
      </c>
      <c r="J20" s="26" t="s">
        <v>95</v>
      </c>
      <c r="K20" s="25">
        <v>17083</v>
      </c>
      <c r="L20" s="25" t="s">
        <v>96</v>
      </c>
      <c r="M20" s="26" t="s">
        <v>97</v>
      </c>
      <c r="N20" s="26" t="s">
        <v>98</v>
      </c>
      <c r="O20" s="27" t="s">
        <v>99</v>
      </c>
      <c r="P20" s="28" t="s">
        <v>100</v>
      </c>
    </row>
    <row r="21" spans="1:16" ht="12.75" customHeight="1" thickBot="1" x14ac:dyDescent="0.25">
      <c r="A21" s="16" t="str">
        <f t="shared" si="0"/>
        <v> BBS 115 </v>
      </c>
      <c r="B21" s="3" t="str">
        <f t="shared" si="1"/>
        <v>I</v>
      </c>
      <c r="C21" s="16">
        <f t="shared" si="2"/>
        <v>50557.388899999998</v>
      </c>
      <c r="D21" s="9" t="str">
        <f t="shared" si="3"/>
        <v>vis</v>
      </c>
      <c r="E21" s="24">
        <f>VLOOKUP(C21,Active!C$21:E$973,3,FALSE)</f>
        <v>12475.893629318831</v>
      </c>
      <c r="F21" s="3" t="s">
        <v>62</v>
      </c>
      <c r="G21" s="9" t="str">
        <f t="shared" si="4"/>
        <v>50557.3889</v>
      </c>
      <c r="H21" s="16">
        <f t="shared" si="5"/>
        <v>12476</v>
      </c>
      <c r="I21" s="25" t="s">
        <v>64</v>
      </c>
      <c r="J21" s="26" t="s">
        <v>65</v>
      </c>
      <c r="K21" s="25">
        <v>12476</v>
      </c>
      <c r="L21" s="25" t="s">
        <v>66</v>
      </c>
      <c r="M21" s="26" t="s">
        <v>67</v>
      </c>
      <c r="N21" s="26" t="s">
        <v>68</v>
      </c>
      <c r="O21" s="27" t="s">
        <v>69</v>
      </c>
      <c r="P21" s="27" t="s">
        <v>70</v>
      </c>
    </row>
    <row r="22" spans="1:16" x14ac:dyDescent="0.2">
      <c r="B22" s="3"/>
      <c r="E22" s="24"/>
      <c r="F22" s="3"/>
    </row>
    <row r="23" spans="1:16" x14ac:dyDescent="0.2">
      <c r="B23" s="3"/>
      <c r="E23" s="24"/>
      <c r="F23" s="3"/>
    </row>
    <row r="24" spans="1:16" x14ac:dyDescent="0.2">
      <c r="B24" s="3"/>
      <c r="E24" s="24"/>
      <c r="F24" s="3"/>
    </row>
    <row r="25" spans="1:16" x14ac:dyDescent="0.2">
      <c r="B25" s="3"/>
      <c r="E25" s="24"/>
      <c r="F25" s="3"/>
    </row>
    <row r="26" spans="1:16" x14ac:dyDescent="0.2">
      <c r="B26" s="3"/>
      <c r="E26" s="24"/>
      <c r="F26" s="3"/>
    </row>
    <row r="27" spans="1:16" x14ac:dyDescent="0.2">
      <c r="B27" s="3"/>
      <c r="E27" s="24"/>
      <c r="F27" s="3"/>
    </row>
    <row r="28" spans="1:16" x14ac:dyDescent="0.2">
      <c r="B28" s="3"/>
      <c r="E28" s="24"/>
      <c r="F28" s="3"/>
    </row>
    <row r="29" spans="1:16" x14ac:dyDescent="0.2">
      <c r="B29" s="3"/>
      <c r="E29" s="24"/>
      <c r="F29" s="3"/>
    </row>
    <row r="30" spans="1:16" x14ac:dyDescent="0.2">
      <c r="B30" s="3"/>
      <c r="E30" s="24"/>
      <c r="F30" s="3"/>
    </row>
    <row r="31" spans="1:16" x14ac:dyDescent="0.2">
      <c r="B31" s="3"/>
      <c r="E31" s="24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</sheetData>
  <phoneticPr fontId="7" type="noConversion"/>
  <hyperlinks>
    <hyperlink ref="P13" r:id="rId1" display="http://www.konkoly.hu/cgi-bin/IBVS?5263"/>
    <hyperlink ref="P15" r:id="rId2" display="http://www.konkoly.hu/cgi-bin/IBVS?5583"/>
    <hyperlink ref="P16" r:id="rId3" display="http://www.konkoly.hu/cgi-bin/IBVS?5592"/>
    <hyperlink ref="P20" r:id="rId4" display="http://www.bav-astro.de/sfs/BAVM_link.php?BAVMnr=203"/>
    <hyperlink ref="P17" r:id="rId5" display="http://www.konkoly.hu/cgi-bin/IBVS?5992"/>
    <hyperlink ref="P18" r:id="rId6" display="http://www.konkoly.hu/cgi-bin/IBVS?6029"/>
    <hyperlink ref="P19" r:id="rId7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2024-03-09T05:47:31Z</dcterms:modified>
</cp:coreProperties>
</file>