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5CE14D4-DE82-4CA2-AEAB-180615801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O23" i="1" l="1"/>
  <c r="C15" i="1"/>
  <c r="O24" i="1"/>
  <c r="O22" i="1"/>
  <c r="C16" i="1"/>
  <c r="D18" i="1" s="1"/>
  <c r="O21" i="1"/>
  <c r="E16" i="1" l="1"/>
  <c r="E17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<sst xmlns="http://schemas.openxmlformats.org/spreadsheetml/2006/main" count="56" uniqueCount="50">
  <si>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</si>
  <si>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</si>
  <si>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</si>
  <si>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</si>
  <si>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</si>
  <si>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</si>
  <si>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</si>
  <si>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</si>
  <si>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</si>
  <si>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</si>
  <si>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</si>
  <si>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</si>
  <si>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</si>
  <si>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</si>
  <si>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</si>
  <si>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</si>
  <si>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</si>
  <si>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</si>
  <si>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</si>
  <si>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</si>
  <si>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</si>
  <si>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</si>
  <si>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</si>
  <si>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</si>
  <si>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</si>
  <si>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</si>
  <si>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</si>
  <si>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</si>
  <si>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</si>
  <si>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</si>
  <si>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</si>
  <si>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</si>
  <si>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</si>
  <si>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</si>
  <si>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</si>
  <si>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</si>
  <si>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</si>
  <si>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</si>
  <si>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</si>
  <si>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</si>
  <si>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</si>
  <si>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</si>
  <si>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IM Vir / GSC 4955-0912</t>
  </si>
  <si>
    <t>EA/RS</t>
  </si>
  <si>
    <t>IBVS 5843</t>
  </si>
  <si>
    <t>I</t>
  </si>
  <si>
    <t>JBAV, 55</t>
  </si>
  <si>
    <t>JBAV, 63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</si>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</sst>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IM Vir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F-4D97-AB0B-DEBF53C715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-4.6042999747442082E-4</c:v>
                </c:pt>
                <c:pt idx="2">
                  <c:v>-3.8052009767852724E-4</c:v>
                </c:pt>
                <c:pt idx="3">
                  <c:v>3.0320699952426367E-3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F-4D97-AB0B-DEBF53C715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F-4D97-AB0B-DEBF53C715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F-4D97-AB0B-DEBF53C715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F-4D97-AB0B-DEBF53C715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F-4D97-AB0B-DEBF53C715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6.0000000000000001E-3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F-4D97-AB0B-DEBF53C715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-3.7156733922975101E-4</c:v>
                </c:pt>
                <c:pt idx="1">
                  <c:v>-1.1423806705868821E-4</c:v>
                </c:pt>
                <c:pt idx="2">
                  <c:v>1.2987164347157557E-3</c:v>
                </c:pt>
                <c:pt idx="3">
                  <c:v>1.3782088716623722E-3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F-4D97-AB0B-DEBF53C7158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819</c:v>
                </c:pt>
                <c:pt idx="2">
                  <c:v>5316</c:v>
                </c:pt>
                <c:pt idx="3">
                  <c:v>5569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F-4D97-AB0B-DEBF53C71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0416"/>
        <c:axId val="1"/>
      </c:scatterChart>
      <c:valAx>
        <c:axId val="84690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0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0E6EA87-5D45-4094-BE29-B98AA0FE4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855468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 x14ac:dyDescent="0.2">
      <c r="A1" s="34" t="s">
        <v>42</v>
      </c>
    </row>
    <row r="2" spans="1:7" s="7" customFormat="1" ht="12.95" customHeight="1" x14ac:dyDescent="0.2">
      <c r="A2" s="7" t="s">
        <v>24</v>
      </c>
      <c r="B2" s="7" t="s">
        <v>43</v>
      </c>
      <c r="C2" s="8"/>
      <c r="D2" s="8"/>
    </row>
    <row r="3" spans="1:7" s="7" customFormat="1" ht="12.95" customHeight="1" thickBot="1" x14ac:dyDescent="0.25"/>
    <row r="4" spans="1:7" s="7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35">
        <v>52402.874199999998</v>
      </c>
      <c r="D7" s="13" t="s">
        <v>41</v>
      </c>
    </row>
    <row r="8" spans="1:7" s="7" customFormat="1" ht="12.95" customHeight="1" x14ac:dyDescent="0.2">
      <c r="A8" s="7" t="s">
        <v>3</v>
      </c>
      <c r="C8" s="35">
        <v>1.30861497</v>
      </c>
      <c r="D8" s="13" t="s">
        <v>41</v>
      </c>
    </row>
    <row r="9" spans="1:7" s="7" customFormat="1" ht="12.95" customHeight="1" x14ac:dyDescent="0.2">
      <c r="A9" s="14" t="s">
        <v>30</v>
      </c>
      <c r="C9" s="15">
        <v>-9.5</v>
      </c>
      <c r="D9" s="7" t="s">
        <v>31</v>
      </c>
    </row>
    <row r="10" spans="1:7" s="7" customFormat="1" ht="12.95" customHeight="1" thickBot="1" x14ac:dyDescent="0.25">
      <c r="C10" s="16" t="s">
        <v>20</v>
      </c>
      <c r="D10" s="16" t="s">
        <v>21</v>
      </c>
    </row>
    <row r="11" spans="1:7" s="7" customFormat="1" ht="12.95" customHeight="1" x14ac:dyDescent="0.2">
      <c r="A11" s="7" t="s">
        <v>15</v>
      </c>
      <c r="C11" s="17">
        <f ca="1">INTERCEPT(INDIRECT($G$11):G991,INDIRECT($F$11):F991)</f>
        <v>-3.7156733922975101E-4</v>
      </c>
      <c r="D11" s="8"/>
      <c r="F11" s="18" t="str">
        <f>"F"&amp;E19</f>
        <v>F21</v>
      </c>
      <c r="G11" s="17" t="str">
        <f>"G"&amp;E19</f>
        <v>G21</v>
      </c>
    </row>
    <row r="12" spans="1:7" s="7" customFormat="1" ht="12.95" customHeight="1" x14ac:dyDescent="0.2">
      <c r="A12" s="7" t="s">
        <v>16</v>
      </c>
      <c r="C12" s="17">
        <f ca="1">SLOPE(INDIRECT($G$11):G991,INDIRECT($F$11):F991)</f>
        <v>3.1419935552022322E-7</v>
      </c>
      <c r="D12" s="8"/>
    </row>
    <row r="13" spans="1:7" s="7" customFormat="1" ht="12.95" customHeight="1" x14ac:dyDescent="0.2">
      <c r="A13" s="7" t="s">
        <v>19</v>
      </c>
      <c r="C13" s="8" t="s">
        <v>13</v>
      </c>
      <c r="D13" s="19" t="s">
        <v>37</v>
      </c>
      <c r="E13" s="15">
        <v>1</v>
      </c>
    </row>
    <row r="14" spans="1:7" s="7" customFormat="1" ht="12.95" customHeight="1" x14ac:dyDescent="0.2">
      <c r="D14" s="19" t="s">
        <v>32</v>
      </c>
      <c r="E14" s="20">
        <f ca="1">NOW()+15018.5+$C$9/24</f>
        <v>60378.794238888884</v>
      </c>
    </row>
    <row r="15" spans="1:7" s="7" customFormat="1" ht="12.95" customHeight="1" x14ac:dyDescent="0.2">
      <c r="A15" s="21" t="s">
        <v>17</v>
      </c>
      <c r="C15" s="22">
        <f ca="1">(C7+C11)+(C8+C12)*INT(MAX(F21:F3532))</f>
        <v>59690.552346138873</v>
      </c>
      <c r="D15" s="19" t="s">
        <v>38</v>
      </c>
      <c r="E15" s="20">
        <f ca="1">ROUND(2*(E14-$C$7)/$C$8,0)/2+E13</f>
        <v>6096</v>
      </c>
    </row>
    <row r="16" spans="1:7" s="7" customFormat="1" ht="12.95" customHeight="1" x14ac:dyDescent="0.2">
      <c r="A16" s="9" t="s">
        <v>4</v>
      </c>
      <c r="C16" s="23">
        <f ca="1">+C8+C12</f>
        <v>1.3086152841993555</v>
      </c>
      <c r="D16" s="19" t="s">
        <v>39</v>
      </c>
      <c r="E16" s="17">
        <f ca="1">ROUND(2*(E14-$C$15)/$C$16,0)/2+E13</f>
        <v>527</v>
      </c>
    </row>
    <row r="17" spans="1:18" s="7" customFormat="1" ht="12.95" customHeight="1" thickBot="1" x14ac:dyDescent="0.25">
      <c r="A17" s="19" t="s">
        <v>29</v>
      </c>
      <c r="C17" s="7">
        <f>COUNT(C21:C2190)</f>
        <v>4</v>
      </c>
      <c r="D17" s="19" t="s">
        <v>33</v>
      </c>
      <c r="E17" s="24">
        <f ca="1">+$C$15+$C$16*E16-15018.5-$C$9/24</f>
        <v>45362.08843424527</v>
      </c>
    </row>
    <row r="18" spans="1:18" s="7" customFormat="1" ht="12.95" customHeight="1" thickTop="1" thickBot="1" x14ac:dyDescent="0.25">
      <c r="A18" s="9" t="s">
        <v>5</v>
      </c>
      <c r="C18" s="25">
        <f ca="1">+C15</f>
        <v>59690.552346138873</v>
      </c>
      <c r="D18" s="26">
        <f ca="1">+C16</f>
        <v>1.3086152841993555</v>
      </c>
      <c r="E18" s="27" t="s">
        <v>34</v>
      </c>
    </row>
    <row r="19" spans="1:18" s="7" customFormat="1" ht="12.95" customHeight="1" thickTop="1" x14ac:dyDescent="0.2">
      <c r="A19" s="28" t="s">
        <v>35</v>
      </c>
      <c r="E19" s="29">
        <v>21</v>
      </c>
    </row>
    <row r="20" spans="1:18" s="7" customFormat="1" ht="12.95" customHeight="1" thickBot="1" x14ac:dyDescent="0.25">
      <c r="A20" s="16" t="s">
        <v>6</v>
      </c>
      <c r="B20" s="16" t="s">
        <v>7</v>
      </c>
      <c r="C20" s="36" t="s">
        <v>8</v>
      </c>
      <c r="D20" s="36" t="s">
        <v>12</v>
      </c>
      <c r="E20" s="16" t="s">
        <v>9</v>
      </c>
      <c r="F20" s="16" t="s">
        <v>10</v>
      </c>
      <c r="G20" s="16" t="s">
        <v>11</v>
      </c>
      <c r="H20" s="30" t="s">
        <v>41</v>
      </c>
      <c r="I20" s="30" t="s">
        <v>49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8" s="7" customFormat="1" ht="12.95" customHeight="1" x14ac:dyDescent="0.2">
      <c r="A21" s="7" t="s">
        <v>41</v>
      </c>
      <c r="C21" s="12">
        <v>52402.874199999998</v>
      </c>
      <c r="D21" s="12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-3.7156733922975101E-4</v>
      </c>
      <c r="Q21" s="33">
        <f>+C21-15018.5</f>
        <v>37384.374199999998</v>
      </c>
    </row>
    <row r="22" spans="1:18" s="7" customFormat="1" ht="12.95" customHeight="1" x14ac:dyDescent="0.2">
      <c r="A22" s="3" t="s">
        <v>44</v>
      </c>
      <c r="B22" s="4" t="s">
        <v>45</v>
      </c>
      <c r="C22" s="3">
        <v>53474.629399999998</v>
      </c>
      <c r="D22" s="3">
        <v>5.0000000000000001E-4</v>
      </c>
      <c r="E22" s="7">
        <f>+(C22-C$7)/C$8</f>
        <v>818.99964815472003</v>
      </c>
      <c r="F22" s="7">
        <f>ROUND(2*E22,0)/2</f>
        <v>819</v>
      </c>
      <c r="G22" s="7">
        <f>+C22-(C$7+F22*C$8)</f>
        <v>-4.6042999747442082E-4</v>
      </c>
      <c r="I22" s="7">
        <f>+G22</f>
        <v>-4.6042999747442082E-4</v>
      </c>
      <c r="O22" s="7">
        <f ca="1">+C$11+C$12*$F22</f>
        <v>-1.1423806705868821E-4</v>
      </c>
      <c r="Q22" s="33">
        <f>+C22-15018.5</f>
        <v>38456.129399999998</v>
      </c>
    </row>
    <row r="23" spans="1:18" s="7" customFormat="1" ht="12.95" customHeight="1" x14ac:dyDescent="0.2">
      <c r="A23" s="5" t="s">
        <v>46</v>
      </c>
      <c r="B23" s="6" t="s">
        <v>45</v>
      </c>
      <c r="C23" s="37">
        <v>59359.470999999903</v>
      </c>
      <c r="D23" s="38">
        <v>6.0000000000000001E-3</v>
      </c>
      <c r="E23" s="7">
        <f t="shared" ref="E23:E24" si="0">+(C23-C$7)/C$8</f>
        <v>5315.9997092192098</v>
      </c>
      <c r="F23" s="7">
        <f t="shared" ref="F23:F24" si="1">ROUND(2*E23,0)/2</f>
        <v>5316</v>
      </c>
      <c r="G23" s="7">
        <f t="shared" ref="G23:G24" si="2">+C23-(C$7+F23*C$8)</f>
        <v>-3.8052009767852724E-4</v>
      </c>
      <c r="I23" s="7">
        <f t="shared" ref="I23:I24" si="3">+G23</f>
        <v>-3.8052009767852724E-4</v>
      </c>
      <c r="O23" s="7">
        <f t="shared" ref="O23:O24" ca="1" si="4">+C$11+C$12*$F23</f>
        <v>1.2987164347157557E-3</v>
      </c>
      <c r="Q23" s="33">
        <f t="shared" ref="Q23:Q24" si="5">+C23-15018.5</f>
        <v>44340.970999999903</v>
      </c>
    </row>
    <row r="24" spans="1:18" s="7" customFormat="1" ht="12.95" customHeight="1" x14ac:dyDescent="0.2">
      <c r="A24" s="5" t="s">
        <v>47</v>
      </c>
      <c r="B24" s="6" t="s">
        <v>48</v>
      </c>
      <c r="C24" s="37">
        <v>59690.553999999996</v>
      </c>
      <c r="D24" s="38">
        <v>1E-3</v>
      </c>
      <c r="E24" s="7">
        <f t="shared" si="0"/>
        <v>5569.0023170069635</v>
      </c>
      <c r="F24" s="7">
        <f t="shared" si="1"/>
        <v>5569</v>
      </c>
      <c r="G24" s="7">
        <f t="shared" si="2"/>
        <v>3.0320699952426367E-3</v>
      </c>
      <c r="I24" s="7">
        <f t="shared" si="3"/>
        <v>3.0320699952426367E-3</v>
      </c>
      <c r="O24" s="7">
        <f t="shared" ca="1" si="4"/>
        <v>1.3782088716623722E-3</v>
      </c>
      <c r="Q24" s="33">
        <f t="shared" si="5"/>
        <v>44672.053999999996</v>
      </c>
    </row>
    <row r="25" spans="1:18" s="7" customFormat="1" ht="12.95" customHeight="1" x14ac:dyDescent="0.2">
      <c r="C25" s="12"/>
      <c r="D25" s="12"/>
      <c r="Q25" s="33"/>
    </row>
    <row r="26" spans="1:18" s="7" customFormat="1" ht="12.95" customHeight="1" x14ac:dyDescent="0.2">
      <c r="C26" s="12"/>
      <c r="D26" s="12"/>
      <c r="Q26" s="33"/>
    </row>
    <row r="27" spans="1:18" s="7" customFormat="1" ht="12.95" customHeight="1" x14ac:dyDescent="0.2">
      <c r="C27" s="12"/>
      <c r="D27" s="12"/>
      <c r="Q27" s="33"/>
    </row>
    <row r="28" spans="1:18" s="7" customFormat="1" ht="12.95" customHeight="1" x14ac:dyDescent="0.2">
      <c r="C28" s="12"/>
      <c r="D28" s="12"/>
      <c r="Q28" s="33"/>
    </row>
    <row r="29" spans="1:18" s="7" customFormat="1" ht="12.95" customHeight="1" x14ac:dyDescent="0.2">
      <c r="C29" s="12"/>
      <c r="D29" s="12"/>
      <c r="Q29" s="33"/>
    </row>
    <row r="30" spans="1:18" s="7" customFormat="1" ht="12.95" customHeight="1" x14ac:dyDescent="0.2">
      <c r="C30" s="12"/>
      <c r="D30" s="12"/>
      <c r="Q30" s="33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2024-03-09T06:03:42Z</dcterms:modified>
</cp:coreProperties>
</file>