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293F3A3-DF83-4F07-B2FE-5D3DD0044F69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G21" i="1"/>
  <c r="H21" i="1"/>
  <c r="G11" i="1"/>
  <c r="F11" i="1"/>
  <c r="E21" i="1"/>
  <c r="F21" i="1"/>
  <c r="E14" i="1"/>
  <c r="E15" i="1" s="1"/>
  <c r="C17" i="1"/>
  <c r="Q21" i="1"/>
  <c r="C11" i="1"/>
  <c r="C12" i="1" l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<sst xmlns="http://schemas.openxmlformats.org/spreadsheetml/2006/main" count="51" uniqueCount="46">
  <si>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</si>
  <si>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</si>
  <si>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</si>
  <si>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</si>
  <si>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</si>
  <si>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</si>
  <si>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</si>
  <si>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</si>
  <si>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</si>
  <si>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</si>
  <si>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</si>
  <si>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</si>
  <si>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</si>
  <si>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</si>
  <si>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</si>
  <si>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</si>
  <si>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</si>
  <si>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</si>
  <si>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</si>
  <si>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</si>
  <si>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</si>
  <si>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</si>
  <si>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</si>
  <si>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</si>
  <si>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</si>
  <si>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</si>
  <si>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</si>
  <si>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</si>
  <si>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</si>
  <si>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</si>
  <si>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</si>
  <si>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</si>
  <si>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</si>
  <si>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</si>
  <si>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</si>
  <si>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</si>
  <si>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</si>
  <si>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</si>
  <si>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</si>
  <si>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</si>
  <si>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</si>
  <si>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</si>
  <si>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MR Vir / GSC 4975-1100</t>
  </si>
  <si>
    <t>IBVS 5690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</si>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</sst>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MR Vir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50-42BF-9554-38486E48444D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2.9100000007019844E-2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50-42BF-9554-38486E48444D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50-42BF-9554-38486E48444D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50-42BF-9554-38486E48444D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50-42BF-9554-38486E48444D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50-42BF-9554-38486E48444D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50-42BF-9554-38486E48444D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2.9100000007019844E-2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50-42BF-9554-38486E48444D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3328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50-42BF-9554-38486E484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62616"/>
        <c:axId val="1"/>
      </c:scatterChart>
      <c:valAx>
        <c:axId val="739562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62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0BA4790-D60E-78A8-C8BF-2E133A4C5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4" customFormat="1" ht="20.25" x14ac:dyDescent="0.2">
      <c r="A1" s="31" t="s">
        <v>42</v>
      </c>
    </row>
    <row r="2" spans="1:7" s="4" customFormat="1" ht="12.95" customHeight="1" x14ac:dyDescent="0.2">
      <c r="A2" s="4" t="s">
        <v>24</v>
      </c>
      <c r="C2" s="5"/>
      <c r="D2" s="5"/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0</v>
      </c>
      <c r="C4" s="7" t="s">
        <v>40</v>
      </c>
      <c r="D4" s="8" t="s">
        <v>40</v>
      </c>
    </row>
    <row r="5" spans="1:7" s="4" customFormat="1" ht="12.95" customHeight="1" x14ac:dyDescent="0.2"/>
    <row r="6" spans="1:7" s="4" customFormat="1" ht="12.95" customHeight="1" x14ac:dyDescent="0.2">
      <c r="A6" s="6" t="s">
        <v>1</v>
      </c>
    </row>
    <row r="7" spans="1:7" s="4" customFormat="1" ht="12.95" customHeight="1" x14ac:dyDescent="0.2">
      <c r="A7" s="4" t="s">
        <v>2</v>
      </c>
      <c r="C7" s="32">
        <v>48500.6</v>
      </c>
      <c r="D7" s="10" t="s">
        <v>41</v>
      </c>
    </row>
    <row r="8" spans="1:7" s="4" customFormat="1" ht="12.95" customHeight="1" x14ac:dyDescent="0.2">
      <c r="A8" s="4" t="s">
        <v>3</v>
      </c>
      <c r="C8" s="32">
        <v>1.5186500000000001</v>
      </c>
      <c r="D8" s="10" t="s">
        <v>41</v>
      </c>
    </row>
    <row r="9" spans="1:7" s="4" customFormat="1" ht="12.95" customHeight="1" x14ac:dyDescent="0.2">
      <c r="A9" s="11" t="s">
        <v>30</v>
      </c>
      <c r="C9" s="12">
        <v>-9.5</v>
      </c>
      <c r="D9" s="4" t="s">
        <v>31</v>
      </c>
    </row>
    <row r="10" spans="1:7" s="4" customFormat="1" ht="12.95" customHeight="1" thickBot="1" x14ac:dyDescent="0.25">
      <c r="C10" s="13" t="s">
        <v>20</v>
      </c>
      <c r="D10" s="13" t="s">
        <v>21</v>
      </c>
    </row>
    <row r="11" spans="1:7" s="4" customFormat="1" ht="12.95" customHeight="1" x14ac:dyDescent="0.2">
      <c r="A11" s="4" t="s">
        <v>15</v>
      </c>
      <c r="C11" s="14">
        <f ca="1">INTERCEPT(INDIRECT($G$11):G992,INDIRECT($F$11):F992)</f>
        <v>0</v>
      </c>
      <c r="D11" s="5"/>
      <c r="F11" s="15" t="str">
        <f>"F"&amp;E19</f>
        <v>F21</v>
      </c>
      <c r="G11" s="14" t="str">
        <f>"G"&amp;E19</f>
        <v>G21</v>
      </c>
    </row>
    <row r="12" spans="1:7" s="4" customFormat="1" ht="12.95" customHeight="1" x14ac:dyDescent="0.2">
      <c r="A12" s="4" t="s">
        <v>16</v>
      </c>
      <c r="C12" s="14">
        <f ca="1">SLOPE(INDIRECT($G$11):G992,INDIRECT($F$11):F992)</f>
        <v>8.7439903867247122E-6</v>
      </c>
      <c r="D12" s="5"/>
    </row>
    <row r="13" spans="1:7" s="4" customFormat="1" ht="12.95" customHeight="1" x14ac:dyDescent="0.2">
      <c r="A13" s="4" t="s">
        <v>19</v>
      </c>
      <c r="C13" s="5" t="s">
        <v>13</v>
      </c>
      <c r="D13" s="16" t="s">
        <v>37</v>
      </c>
      <c r="E13" s="12">
        <v>1</v>
      </c>
    </row>
    <row r="14" spans="1:7" s="4" customFormat="1" ht="12.95" customHeight="1" x14ac:dyDescent="0.2">
      <c r="D14" s="16" t="s">
        <v>32</v>
      </c>
      <c r="E14" s="17">
        <f ca="1">NOW()+15018.5+$C$9/24</f>
        <v>60378.796462962964</v>
      </c>
    </row>
    <row r="15" spans="1:7" s="4" customFormat="1" ht="12.95" customHeight="1" x14ac:dyDescent="0.2">
      <c r="A15" s="18" t="s">
        <v>17</v>
      </c>
      <c r="C15" s="19">
        <f ca="1">(C7+C11)+(C8+C12)*INT(MAX(F21:F3533))</f>
        <v>53554.696300000003</v>
      </c>
      <c r="D15" s="16" t="s">
        <v>38</v>
      </c>
      <c r="E15" s="17">
        <f ca="1">ROUND(2*(E14-$C$7)/$C$8,0)/2+E13</f>
        <v>7822.5</v>
      </c>
    </row>
    <row r="16" spans="1:7" s="4" customFormat="1" ht="12.95" customHeight="1" x14ac:dyDescent="0.2">
      <c r="A16" s="6" t="s">
        <v>4</v>
      </c>
      <c r="C16" s="20">
        <f ca="1">+C8+C12</f>
        <v>1.5186587439903867</v>
      </c>
      <c r="D16" s="16" t="s">
        <v>39</v>
      </c>
      <c r="E16" s="14">
        <f ca="1">ROUND(2*(E14-$C$15)/$C$16,0)/2+E13</f>
        <v>4494.5</v>
      </c>
    </row>
    <row r="17" spans="1:18" s="4" customFormat="1" ht="12.95" customHeight="1" thickBot="1" x14ac:dyDescent="0.25">
      <c r="A17" s="16" t="s">
        <v>29</v>
      </c>
      <c r="C17" s="4">
        <f>COUNT(C21:C2191)</f>
        <v>2</v>
      </c>
      <c r="D17" s="16" t="s">
        <v>33</v>
      </c>
      <c r="E17" s="21">
        <f ca="1">+$C$15+$C$16*E16-15018.5-$C$9/24</f>
        <v>45362.203858198132</v>
      </c>
    </row>
    <row r="18" spans="1:18" s="4" customFormat="1" ht="12.95" customHeight="1" thickTop="1" thickBot="1" x14ac:dyDescent="0.25">
      <c r="A18" s="6" t="s">
        <v>5</v>
      </c>
      <c r="C18" s="22">
        <f ca="1">+C15</f>
        <v>53554.696300000003</v>
      </c>
      <c r="D18" s="23">
        <f ca="1">+C16</f>
        <v>1.5186587439903867</v>
      </c>
      <c r="E18" s="24" t="s">
        <v>34</v>
      </c>
    </row>
    <row r="19" spans="1:18" s="4" customFormat="1" ht="12.95" customHeight="1" thickTop="1" x14ac:dyDescent="0.2">
      <c r="A19" s="25" t="s">
        <v>35</v>
      </c>
      <c r="E19" s="26">
        <v>21</v>
      </c>
    </row>
    <row r="20" spans="1:18" s="4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">
        <v>41</v>
      </c>
      <c r="I20" s="27" t="s">
        <v>45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  <c r="R20" s="29" t="s">
        <v>36</v>
      </c>
    </row>
    <row r="21" spans="1:18" s="4" customFormat="1" ht="12.95" customHeight="1" x14ac:dyDescent="0.2">
      <c r="A21" s="4" t="s">
        <v>41</v>
      </c>
      <c r="C21" s="9">
        <f>C7</f>
        <v>48500.6</v>
      </c>
      <c r="D21" s="9" t="s">
        <v>13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0</v>
      </c>
      <c r="Q21" s="30">
        <f>+C21-15018.5</f>
        <v>33482.1</v>
      </c>
    </row>
    <row r="22" spans="1:18" s="4" customFormat="1" ht="12.95" customHeight="1" x14ac:dyDescent="0.2">
      <c r="A22" s="2" t="s">
        <v>43</v>
      </c>
      <c r="B22" s="3" t="s">
        <v>44</v>
      </c>
      <c r="C22" s="2">
        <v>53554.696300000003</v>
      </c>
      <c r="D22" s="2">
        <v>1.8E-3</v>
      </c>
      <c r="E22" s="4">
        <f>+(C22-C$7)/C$8</f>
        <v>3328.0191617555097</v>
      </c>
      <c r="F22" s="4">
        <f>ROUND(2*E22,0)/2</f>
        <v>3328</v>
      </c>
      <c r="G22" s="4">
        <f>+C22-(C$7+F22*C$8)</f>
        <v>2.9100000007019844E-2</v>
      </c>
      <c r="I22" s="4">
        <f>+G22</f>
        <v>2.9100000007019844E-2</v>
      </c>
      <c r="O22" s="4">
        <f ca="1">+C$11+C$12*$F22</f>
        <v>2.9100000007019844E-2</v>
      </c>
      <c r="Q22" s="30">
        <f>+C22-15018.5</f>
        <v>38536.196300000003</v>
      </c>
    </row>
    <row r="23" spans="1:18" s="4" customFormat="1" ht="12.95" customHeight="1" x14ac:dyDescent="0.2">
      <c r="C23" s="9"/>
      <c r="D23" s="9"/>
      <c r="Q23" s="30"/>
    </row>
    <row r="24" spans="1:18" s="4" customFormat="1" ht="12.95" customHeight="1" x14ac:dyDescent="0.2">
      <c r="C24" s="9"/>
      <c r="D24" s="9"/>
      <c r="Q24" s="30"/>
    </row>
    <row r="25" spans="1:18" s="4" customFormat="1" ht="12.95" customHeight="1" x14ac:dyDescent="0.2">
      <c r="C25" s="9"/>
      <c r="D25" s="9"/>
      <c r="Q25" s="30"/>
    </row>
    <row r="26" spans="1:18" s="4" customFormat="1" ht="12.95" customHeight="1" x14ac:dyDescent="0.2">
      <c r="C26" s="9"/>
      <c r="D26" s="9"/>
      <c r="Q26" s="30"/>
    </row>
    <row r="27" spans="1:18" s="4" customFormat="1" ht="12.95" customHeight="1" x14ac:dyDescent="0.2">
      <c r="C27" s="9"/>
      <c r="D27" s="9"/>
      <c r="Q27" s="30"/>
    </row>
    <row r="28" spans="1:18" s="4" customFormat="1" ht="12.95" customHeight="1" x14ac:dyDescent="0.2">
      <c r="C28" s="9"/>
      <c r="D28" s="9"/>
      <c r="Q28" s="30"/>
    </row>
    <row r="29" spans="1:18" s="4" customFormat="1" ht="12.95" customHeight="1" x14ac:dyDescent="0.2">
      <c r="C29" s="9"/>
      <c r="D29" s="9"/>
      <c r="Q29" s="30"/>
    </row>
    <row r="30" spans="1:18" s="4" customFormat="1" ht="12.95" customHeight="1" x14ac:dyDescent="0.2">
      <c r="C30" s="9"/>
      <c r="D30" s="9"/>
      <c r="Q30" s="30"/>
    </row>
    <row r="31" spans="1:18" s="4" customFormat="1" ht="12.95" customHeight="1" x14ac:dyDescent="0.2">
      <c r="C31" s="9"/>
      <c r="D31" s="9"/>
      <c r="Q31" s="30"/>
    </row>
    <row r="32" spans="1:18" s="4" customFormat="1" ht="12.95" customHeight="1" x14ac:dyDescent="0.2">
      <c r="C32" s="9"/>
      <c r="D32" s="9"/>
      <c r="Q32" s="30"/>
    </row>
    <row r="33" spans="3:17" s="4" customFormat="1" ht="12.95" customHeight="1" x14ac:dyDescent="0.2">
      <c r="C33" s="9"/>
      <c r="D33" s="9"/>
      <c r="Q33" s="30"/>
    </row>
    <row r="34" spans="3:17" s="4" customFormat="1" ht="12.95" customHeight="1" x14ac:dyDescent="0.2">
      <c r="C34" s="9"/>
      <c r="D34" s="9"/>
    </row>
    <row r="35" spans="3:17" s="4" customFormat="1" ht="12.95" customHeight="1" x14ac:dyDescent="0.2">
      <c r="C35" s="9"/>
      <c r="D35" s="9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2024-03-09T06:06:54Z</dcterms:modified>
</cp:coreProperties>
</file>