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29EEA81-7943-47DF-B6F1-8F30F58ED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D9" i="1"/>
  <c r="C9" i="1"/>
  <c r="Q22" i="1"/>
  <c r="C21" i="1"/>
  <c r="G21" i="1"/>
  <c r="I21" i="1"/>
  <c r="A21" i="1"/>
  <c r="C7" i="1"/>
  <c r="C8" i="1"/>
  <c r="E21" i="1"/>
  <c r="F21" i="1"/>
  <c r="C17" i="1"/>
  <c r="Q21" i="1"/>
  <c r="E22" i="1"/>
  <c r="F22" i="1"/>
  <c r="G22" i="1"/>
  <c r="K22" i="1"/>
  <c r="C12" i="1"/>
  <c r="C11" i="1"/>
  <c r="O22" i="1" l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<sst xmlns="http://schemas.openxmlformats.org/spreadsheetml/2006/main" count="54" uniqueCount="48">
  <si>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</si>
  <si>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</si>
  <si>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</si>
  <si>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</si>
  <si>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</si>
  <si>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</si>
  <si>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</si>
  <si>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</si>
  <si>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</si>
  <si>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</si>
  <si>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</si>
  <si>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</si>
  <si>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</si>
  <si>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</si>
  <si>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</si>
  <si>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</si>
  <si>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</si>
  <si>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</si>
  <si>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</si>
  <si>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</si>
  <si>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</si>
  <si>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</si>
  <si>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</si>
  <si>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</si>
  <si>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</si>
  <si>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</si>
  <si>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</si>
  <si>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</si>
  <si>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</si>
  <si>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</si>
  <si>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</si>
  <si>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</si>
  <si>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</si>
  <si>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GSC 8934 0380_Vol.xls</t>
  </si>
  <si>
    <t>EW</t>
  </si>
  <si>
    <t>IBVS 5495 Eph.</t>
  </si>
  <si>
    <t>IBVS 5495</t>
  </si>
  <si>
    <t>Vol</t>
  </si>
  <si>
    <t>OEJV 0179</t>
  </si>
  <si>
    <t>II</t>
  </si>
  <si>
    <t>AE Vol / GSC 8934 0380</t>
  </si>
  <si>
    <t>pg</t>
  </si>
  <si>
    <t>vis</t>
  </si>
  <si>
    <t>PE</t>
  </si>
  <si>
    <t>CCD</t>
  </si>
  <si>
    <t>Add cycle</t>
  </si>
  <si>
    <t>Old Cycle</t>
  </si>
  <si>
    <t>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</si>
</sst>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center" vertical="center"/>
    </xf>
    <xf numFmtId="0" fontId="29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Vol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37-4158-8F38-5119FC5285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37-4158-8F38-5119FC5285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37-4158-8F38-5119FC5285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7.1230000030482188E-3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37-4158-8F38-5119FC5285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37-4158-8F38-5119FC5285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37-4158-8F38-5119FC5285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37-4158-8F38-5119FC5285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7.1230000030482188E-3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37-4158-8F38-5119FC52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49176"/>
        <c:axId val="1"/>
      </c:scatterChart>
      <c:valAx>
        <c:axId val="62174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4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6CD33F-4A9E-5895-B812-26E5EBD96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4" t="s">
        <v>40</v>
      </c>
      <c r="E1" s="35"/>
      <c r="F1" s="35" t="s">
        <v>33</v>
      </c>
      <c r="G1" s="4" t="s">
        <v>34</v>
      </c>
      <c r="H1" s="8" t="s">
        <v>35</v>
      </c>
      <c r="I1" s="5">
        <v>52613.631000000001</v>
      </c>
      <c r="J1" s="5">
        <v>0.40661399999999998</v>
      </c>
      <c r="K1" s="4" t="s">
        <v>36</v>
      </c>
      <c r="L1" s="3" t="s">
        <v>37</v>
      </c>
    </row>
    <row r="2" spans="1:12" s="6" customFormat="1" ht="12.95" customHeight="1" x14ac:dyDescent="0.2">
      <c r="A2" s="6" t="s">
        <v>22</v>
      </c>
      <c r="B2" s="6" t="s">
        <v>34</v>
      </c>
      <c r="C2" s="7" t="s">
        <v>37</v>
      </c>
      <c r="D2" s="6" t="s">
        <v>33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35</v>
      </c>
      <c r="C4" s="9">
        <v>52613.631000000001</v>
      </c>
      <c r="D4" s="10">
        <v>0.40661399999999998</v>
      </c>
    </row>
    <row r="5" spans="1:12" s="6" customFormat="1" ht="12.95" customHeight="1" thickTop="1" x14ac:dyDescent="0.2">
      <c r="A5" s="8" t="s">
        <v>27</v>
      </c>
      <c r="C5" s="11">
        <v>-9.5</v>
      </c>
      <c r="D5" s="6" t="s">
        <v>28</v>
      </c>
    </row>
    <row r="6" spans="1:12" s="6" customFormat="1" ht="12.95" customHeight="1" x14ac:dyDescent="0.2">
      <c r="A6" s="12" t="s">
        <v>0</v>
      </c>
    </row>
    <row r="7" spans="1:12" s="6" customFormat="1" ht="12.95" customHeight="1" x14ac:dyDescent="0.2">
      <c r="A7" s="6" t="s">
        <v>1</v>
      </c>
      <c r="C7" s="6">
        <f>+C4</f>
        <v>52613.631000000001</v>
      </c>
    </row>
    <row r="8" spans="1:12" s="6" customFormat="1" ht="12.95" customHeight="1" x14ac:dyDescent="0.2">
      <c r="A8" s="6" t="s">
        <v>2</v>
      </c>
      <c r="C8" s="6">
        <f>+D4</f>
        <v>0.40661399999999998</v>
      </c>
    </row>
    <row r="9" spans="1:12" s="6" customFormat="1" ht="12.95" customHeight="1" x14ac:dyDescent="0.2">
      <c r="A9" s="13" t="s">
        <v>32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12" s="6" customFormat="1" ht="12.95" customHeight="1" thickBot="1" x14ac:dyDescent="0.25">
      <c r="C10" s="17" t="s">
        <v>18</v>
      </c>
      <c r="D10" s="17" t="s">
        <v>19</v>
      </c>
    </row>
    <row r="11" spans="1:12" s="6" customFormat="1" ht="12.95" customHeight="1" x14ac:dyDescent="0.2">
      <c r="A11" s="6" t="s">
        <v>14</v>
      </c>
      <c r="C11" s="16">
        <f ca="1">INTERCEPT(INDIRECT($D$9):G992,INDIRECT($C$9):F992)</f>
        <v>0</v>
      </c>
      <c r="D11" s="18"/>
    </row>
    <row r="12" spans="1:12" s="6" customFormat="1" ht="12.95" customHeight="1" x14ac:dyDescent="0.2">
      <c r="A12" s="6" t="s">
        <v>15</v>
      </c>
      <c r="C12" s="16">
        <f ca="1">SLOPE(INDIRECT($D$9):G992,INDIRECT($C$9):F992)</f>
        <v>6.6380876967971847E-7</v>
      </c>
      <c r="D12" s="18"/>
    </row>
    <row r="13" spans="1:12" s="6" customFormat="1" ht="12.95" customHeight="1" x14ac:dyDescent="0.2">
      <c r="A13" s="6" t="s">
        <v>17</v>
      </c>
      <c r="C13" s="18" t="s">
        <v>12</v>
      </c>
    </row>
    <row r="14" spans="1:12" s="6" customFormat="1" ht="12.95" customHeight="1" x14ac:dyDescent="0.2"/>
    <row r="15" spans="1:12" s="6" customFormat="1" ht="12.95" customHeight="1" x14ac:dyDescent="0.2">
      <c r="A15" s="19" t="s">
        <v>16</v>
      </c>
      <c r="C15" s="20">
        <f ca="1">(C7+C11)+(C8+C12)*INT(MAX(F21:F3533))</f>
        <v>56976.606342668099</v>
      </c>
      <c r="E15" s="21" t="s">
        <v>45</v>
      </c>
      <c r="F15" s="22">
        <v>1</v>
      </c>
    </row>
    <row r="16" spans="1:12" s="6" customFormat="1" ht="12.95" customHeight="1" x14ac:dyDescent="0.2">
      <c r="A16" s="12" t="s">
        <v>3</v>
      </c>
      <c r="C16" s="23">
        <f ca="1">+C8+C12</f>
        <v>0.40661466380876965</v>
      </c>
      <c r="E16" s="21" t="s">
        <v>29</v>
      </c>
      <c r="F16" s="23">
        <f ca="1">NOW()+15018.5+$C$5/24</f>
        <v>60379.559922222223</v>
      </c>
    </row>
    <row r="17" spans="1:18" s="6" customFormat="1" ht="12.95" customHeight="1" thickBot="1" x14ac:dyDescent="0.25">
      <c r="A17" s="21" t="s">
        <v>26</v>
      </c>
      <c r="C17" s="6">
        <f>COUNT(C21:C2191)</f>
        <v>2</v>
      </c>
      <c r="E17" s="21" t="s">
        <v>46</v>
      </c>
      <c r="F17" s="24">
        <f ca="1">ROUND(2*(F16-$C$7)/$C$8,0)/2+F15</f>
        <v>19100</v>
      </c>
    </row>
    <row r="18" spans="1:18" s="6" customFormat="1" ht="12.95" customHeight="1" thickTop="1" thickBot="1" x14ac:dyDescent="0.25">
      <c r="A18" s="12" t="s">
        <v>4</v>
      </c>
      <c r="C18" s="25">
        <f ca="1">+C15</f>
        <v>56976.606342668099</v>
      </c>
      <c r="D18" s="26">
        <f ca="1">+C16</f>
        <v>0.40661466380876965</v>
      </c>
      <c r="E18" s="21" t="s">
        <v>30</v>
      </c>
      <c r="F18" s="16">
        <f ca="1">ROUND(2*(F16-$C$15)/$C$16,0)/2+F15</f>
        <v>8370</v>
      </c>
    </row>
    <row r="19" spans="1:18" s="6" customFormat="1" ht="12.95" customHeight="1" thickTop="1" x14ac:dyDescent="0.2">
      <c r="E19" s="21" t="s">
        <v>31</v>
      </c>
      <c r="F19" s="27">
        <f ca="1">+$C$15+$C$16*F18-15018.5-$C$5/24</f>
        <v>45361.866912080841</v>
      </c>
    </row>
    <row r="20" spans="1:18" s="6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28" t="s">
        <v>41</v>
      </c>
      <c r="I20" s="28" t="s">
        <v>42</v>
      </c>
      <c r="J20" s="28" t="s">
        <v>43</v>
      </c>
      <c r="K20" s="28" t="s">
        <v>44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7" t="s">
        <v>13</v>
      </c>
    </row>
    <row r="21" spans="1:18" s="6" customFormat="1" ht="12.95" customHeight="1" x14ac:dyDescent="0.2">
      <c r="A21" s="6" t="str">
        <f>$K$1</f>
        <v>IBVS 5495</v>
      </c>
      <c r="C21" s="7">
        <f>+$C$4</f>
        <v>52613.631000000001</v>
      </c>
      <c r="D21" s="7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0</v>
      </c>
      <c r="Q21" s="30">
        <f>+C21-15018.5</f>
        <v>37595.131000000001</v>
      </c>
      <c r="R21" s="6" t="s">
        <v>47</v>
      </c>
    </row>
    <row r="22" spans="1:18" s="6" customFormat="1" ht="12.95" customHeight="1" x14ac:dyDescent="0.2">
      <c r="A22" s="31" t="s">
        <v>38</v>
      </c>
      <c r="B22" s="32" t="s">
        <v>39</v>
      </c>
      <c r="C22" s="33">
        <v>56976.809650000003</v>
      </c>
      <c r="D22" s="33">
        <v>1E-4</v>
      </c>
      <c r="E22" s="6">
        <f>+(C22-C$7)/C$8</f>
        <v>10730.51751784248</v>
      </c>
      <c r="F22" s="6">
        <f>ROUND(2*E22,0)/2</f>
        <v>10730.5</v>
      </c>
      <c r="G22" s="6">
        <f>+C22-(C$7+F22*C$8)</f>
        <v>7.1230000030482188E-3</v>
      </c>
      <c r="K22" s="6">
        <f>+G22</f>
        <v>7.1230000030482188E-3</v>
      </c>
      <c r="O22" s="6">
        <f ca="1">+C$11+C$12*$F22</f>
        <v>7.1230000030482188E-3</v>
      </c>
      <c r="Q22" s="30">
        <f>+C22-15018.5</f>
        <v>41958.309650000003</v>
      </c>
      <c r="R22" s="6" t="s">
        <v>44</v>
      </c>
    </row>
    <row r="23" spans="1:18" s="6" customFormat="1" ht="12.95" customHeight="1" x14ac:dyDescent="0.2">
      <c r="C23" s="7"/>
      <c r="D23" s="7"/>
      <c r="Q23" s="30"/>
    </row>
    <row r="24" spans="1:18" s="6" customFormat="1" ht="12.95" customHeight="1" x14ac:dyDescent="0.2">
      <c r="Q24" s="30"/>
    </row>
    <row r="25" spans="1:18" s="6" customFormat="1" ht="12.95" customHeight="1" x14ac:dyDescent="0.2">
      <c r="C25" s="7"/>
      <c r="D25" s="7"/>
      <c r="Q25" s="30"/>
    </row>
    <row r="26" spans="1:18" s="6" customFormat="1" ht="12.95" customHeight="1" x14ac:dyDescent="0.2">
      <c r="C26" s="7"/>
      <c r="D26" s="7"/>
      <c r="Q26" s="30"/>
    </row>
    <row r="27" spans="1:18" s="6" customFormat="1" ht="12.95" customHeight="1" x14ac:dyDescent="0.2">
      <c r="C27" s="7"/>
      <c r="D27" s="7"/>
      <c r="Q27" s="30"/>
    </row>
    <row r="28" spans="1:18" s="6" customFormat="1" ht="12.95" customHeight="1" x14ac:dyDescent="0.2">
      <c r="C28" s="7"/>
      <c r="D28" s="7"/>
      <c r="Q28" s="30"/>
    </row>
    <row r="29" spans="1:18" s="6" customFormat="1" ht="12.95" customHeight="1" x14ac:dyDescent="0.2">
      <c r="C29" s="7"/>
      <c r="D29" s="7"/>
      <c r="Q29" s="30"/>
    </row>
    <row r="30" spans="1:18" s="6" customFormat="1" ht="12.95" customHeight="1" x14ac:dyDescent="0.2">
      <c r="C30" s="7"/>
      <c r="D30" s="7"/>
      <c r="Q30" s="30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2024-03-10T00:26:17Z</dcterms:modified>
</cp:coreProperties>
</file>