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423FD80-2D9A-4DB1-80E3-9502BA845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E31" i="1"/>
  <c r="F31" i="1"/>
  <c r="G31" i="1" s="1"/>
  <c r="K31" i="1" s="1"/>
  <c r="Q31" i="1"/>
  <c r="E21" i="1"/>
  <c r="F21" i="1"/>
  <c r="U21" i="1"/>
  <c r="E25" i="1"/>
  <c r="F25" i="1"/>
  <c r="G25" i="1"/>
  <c r="K25" i="1"/>
  <c r="D9" i="1"/>
  <c r="C9" i="1"/>
  <c r="E22" i="1"/>
  <c r="F22" i="1"/>
  <c r="G22" i="1"/>
  <c r="H22" i="1"/>
  <c r="E23" i="1"/>
  <c r="F23" i="1"/>
  <c r="G23" i="1"/>
  <c r="J23" i="1"/>
  <c r="E24" i="1"/>
  <c r="F24" i="1"/>
  <c r="G24" i="1"/>
  <c r="J24" i="1"/>
  <c r="E27" i="1"/>
  <c r="F27" i="1"/>
  <c r="G27" i="1"/>
  <c r="J27" i="1"/>
  <c r="E26" i="1"/>
  <c r="F26" i="1"/>
  <c r="G26" i="1"/>
  <c r="K26" i="1"/>
  <c r="E29" i="1"/>
  <c r="F29" i="1"/>
  <c r="G29" i="1"/>
  <c r="K29" i="1"/>
  <c r="E28" i="1"/>
  <c r="F28" i="1"/>
  <c r="G28" i="1"/>
  <c r="J28" i="1"/>
  <c r="E30" i="1"/>
  <c r="F30" i="1"/>
  <c r="G30" i="1"/>
  <c r="K30" i="1"/>
  <c r="Q21" i="1"/>
  <c r="Q25" i="1"/>
  <c r="G16" i="2"/>
  <c r="C16" i="2"/>
  <c r="E16" i="2"/>
  <c r="G15" i="2"/>
  <c r="C15" i="2"/>
  <c r="E15" i="2"/>
  <c r="G14" i="2"/>
  <c r="C14" i="2"/>
  <c r="E14" i="2"/>
  <c r="G13" i="2"/>
  <c r="C13" i="2"/>
  <c r="E13" i="2"/>
  <c r="G18" i="2"/>
  <c r="C18" i="2"/>
  <c r="E18" i="2"/>
  <c r="G12" i="2"/>
  <c r="C12" i="2"/>
  <c r="E12" i="2"/>
  <c r="G11" i="2"/>
  <c r="C11" i="2"/>
  <c r="E11" i="2"/>
  <c r="G17" i="2"/>
  <c r="C17" i="2"/>
  <c r="E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8" i="2"/>
  <c r="D18" i="2"/>
  <c r="B18" i="2"/>
  <c r="A18" i="2"/>
  <c r="H12" i="2"/>
  <c r="D12" i="2"/>
  <c r="B12" i="2"/>
  <c r="A12" i="2"/>
  <c r="H11" i="2"/>
  <c r="D11" i="2"/>
  <c r="B11" i="2"/>
  <c r="A11" i="2"/>
  <c r="H17" i="2"/>
  <c r="D17" i="2"/>
  <c r="B17" i="2"/>
  <c r="A17" i="2"/>
  <c r="Q28" i="1"/>
  <c r="Q30" i="1"/>
  <c r="Q29" i="1"/>
  <c r="Q23" i="1"/>
  <c r="Q24" i="1"/>
  <c r="Q27" i="1"/>
  <c r="Q26" i="1"/>
  <c r="C17" i="1"/>
  <c r="Q22" i="1"/>
  <c r="C11" i="1"/>
  <c r="C12" i="1"/>
  <c r="F15" i="1" l="1"/>
  <c r="O31" i="1"/>
  <c r="C16" i="1"/>
  <c r="D18" i="1" s="1"/>
  <c r="O21" i="1"/>
  <c r="O27" i="1"/>
  <c r="O24" i="1"/>
  <c r="C15" i="1"/>
  <c r="F16" i="1" s="1"/>
  <c r="O28" i="1"/>
  <c r="O25" i="1"/>
  <c r="O26" i="1"/>
  <c r="O23" i="1"/>
  <c r="O30" i="1"/>
  <c r="O22" i="1"/>
  <c r="O29" i="1"/>
  <c r="F18" i="1" l="1"/>
  <c r="F17" i="1"/>
  <c r="C18" i="1"/>
</calcChain>
</file>

<file path=xl/sharedStrings.xml><?xml version="1.0" encoding="utf-8"?>
<sst xmlns="http://schemas.openxmlformats.org/spreadsheetml/2006/main" count="151" uniqueCount="103">
  <si>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</si>
  <si>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</si>
  <si>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</si>
  <si>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</si>
  <si>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</si>
  <si>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</si>
  <si>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</si>
  <si>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</si>
  <si>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</si>
  <si>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</si>
  <si>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</si>
  <si>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</si>
  <si>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</si>
  <si>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</si>
  <si>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</si>
  <si>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</si>
  <si>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</si>
  <si>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</si>
  <si>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</si>
  <si>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</si>
  <si>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</si>
  <si>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</si>
  <si>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</si>
  <si>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</si>
  <si>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</si>
  <si>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</si>
  <si>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</si>
  <si>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</si>
  <si>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</si>
  <si>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</si>
  <si>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</si>
  <si>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</si>
  <si>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</si>
  <si>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</si>
  <si>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</si>
  <si>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</si>
  <si>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</si>
  <si>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BB Vul / GSC 2165-0462</t>
  </si>
  <si>
    <t>EA/RS</t>
  </si>
  <si>
    <t>IBVS 5959</t>
  </si>
  <si>
    <t>I</t>
  </si>
  <si>
    <t>OEJV 0137</t>
  </si>
  <si>
    <t>IBVS 6070</t>
  </si>
  <si>
    <t>IBVS 5984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</si>
  <si>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</si>
  <si>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</si>
  <si>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</si>
  <si>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</si>
  <si>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</si>
  <si>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</si>
  <si>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</si>
  <si>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</si>
  <si>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</si>
  <si>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</si>
  <si>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</si>
  <si>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</si>
  <si>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P </t>
  </si>
  <si>
    <t> 0.0001 </t>
  </si>
  <si>
    <t> 0.0000 </t>
  </si>
  <si>
    <t>C </t>
  </si>
  <si>
    <t>-I</t>
  </si>
  <si>
    <t>o</t>
  </si>
  <si>
    <t>OEJV 0137 </t>
  </si>
  <si>
    <t>R</t>
  </si>
  <si>
    <t>BAVM 231 </t>
  </si>
  <si>
    <t>BAVM 238 </t>
  </si>
  <si>
    <t>2418889.41 </t>
  </si>
  <si>
    <t> 05.08.1910 21:50 </t>
  </si>
  <si>
    <t> 0.12 </t>
  </si>
  <si>
    <t> P.Parenago </t>
  </si>
  <si>
    <t> PZ 4.134 </t>
  </si>
  <si>
    <t>2455340.5546 </t>
  </si>
  <si>
    <t> 24.05.2010 01:18 </t>
  </si>
  <si>
    <t> 0.0005 </t>
  </si>
  <si>
    <t> J.Schirmer </t>
  </si>
  <si>
    <t>BAVM 214 </t>
  </si>
  <si>
    <t>2455379.5190 </t>
  </si>
  <si>
    <t> 02.07.2010 00:27 </t>
  </si>
  <si>
    <t> -0.0004 </t>
  </si>
  <si>
    <t>2455380.4578 </t>
  </si>
  <si>
    <t> 02.07.2010 22:59 </t>
  </si>
  <si>
    <t>3067</t>
  </si>
  <si>
    <t> -0.0005 </t>
  </si>
  <si>
    <t> L.Brát </t>
  </si>
  <si>
    <t>2455380.4580 </t>
  </si>
  <si>
    <t> -0.0003 </t>
  </si>
  <si>
    <t>2455443.3657 </t>
  </si>
  <si>
    <t> 03.09.2010 20:46 </t>
  </si>
  <si>
    <t>3134</t>
  </si>
  <si>
    <t>BAVM 215 </t>
  </si>
  <si>
    <t>2456149.4346 </t>
  </si>
  <si>
    <t> 09.08.2012 22:25 </t>
  </si>
  <si>
    <t>3886</t>
  </si>
  <si>
    <t>2456840.4805 </t>
  </si>
  <si>
    <t> 01.07.2014 23:31 </t>
  </si>
  <si>
    <t>4622</t>
  </si>
  <si>
    <t> W.Moschner &amp; P.Frank </t>
  </si>
  <si>
    <t>BAD?</t>
  </si>
  <si>
    <t>OEJV 0179</t>
  </si>
  <si>
    <t xml:space="preserve">Mag </t>
  </si>
  <si>
    <t>Next ToM-P</t>
  </si>
  <si>
    <t>Next ToM-S</t>
  </si>
  <si>
    <t>12.00-12.70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</si>
</sst>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4" fillId="0" borderId="21" xfId="0" applyFont="1" applyBorder="1" applyAlignment="1">
      <alignment horizontal="right" vertical="center"/>
    </xf>
    <xf numFmtId="22" fontId="34" fillId="0" borderId="21" xfId="0" applyNumberFormat="1" applyFont="1" applyBorder="1" applyAlignment="1">
      <alignment horizontal="right" vertical="center"/>
    </xf>
    <xf numFmtId="22" fontId="34" fillId="0" borderId="22" xfId="0" applyNumberFormat="1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35" fillId="0" borderId="21" xfId="0" applyFont="1" applyBorder="1" applyAlignment="1">
      <alignment vertical="center"/>
    </xf>
    <xf numFmtId="0" fontId="0" fillId="25" borderId="18" xfId="0" applyFill="1" applyBorder="1" applyAlignment="1">
      <alignment horizontal="right" vertical="center"/>
    </xf>
    <xf numFmtId="0" fontId="33" fillId="25" borderId="1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BB Vul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A1-4256-8BC9-D622240D5F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A1-4256-8BC9-D622240D5F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6.4600000041536987E-3</c:v>
                </c:pt>
                <c:pt idx="3">
                  <c:v>5.6800000020302832E-3</c:v>
                </c:pt>
                <c:pt idx="6">
                  <c:v>5.7600000000093132E-3</c:v>
                </c:pt>
                <c:pt idx="7">
                  <c:v>5.8199999984935857E-3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A1-4256-8BC9-D622240D5F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5.5599999977857806E-3</c:v>
                </c:pt>
                <c:pt idx="5">
                  <c:v>5.6200000035460107E-3</c:v>
                </c:pt>
                <c:pt idx="8">
                  <c:v>6.8800000008195639E-3</c:v>
                </c:pt>
                <c:pt idx="9">
                  <c:v>7.6599999956670217E-3</c:v>
                </c:pt>
                <c:pt idx="10">
                  <c:v>8.8000000032479875E-3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A1-4256-8BC9-D622240D5F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A1-4256-8BC9-D622240D5F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A1-4256-8BC9-D622240D5F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A1-4256-8BC9-D622240D5F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-4.5193630071585472E-2</c:v>
                </c:pt>
                <c:pt idx="1">
                  <c:v>1.221063078745508E-4</c:v>
                </c:pt>
                <c:pt idx="2">
                  <c:v>5.6993974565210642E-3</c:v>
                </c:pt>
                <c:pt idx="3">
                  <c:v>5.7538004610266065E-3</c:v>
                </c:pt>
                <c:pt idx="4">
                  <c:v>5.7551113767978241E-3</c:v>
                </c:pt>
                <c:pt idx="5">
                  <c:v>5.7551113767978241E-3</c:v>
                </c:pt>
                <c:pt idx="6">
                  <c:v>5.7551113767978241E-3</c:v>
                </c:pt>
                <c:pt idx="7">
                  <c:v>5.8429427334694226E-3</c:v>
                </c:pt>
                <c:pt idx="8">
                  <c:v>6.828751393425276E-3</c:v>
                </c:pt>
                <c:pt idx="9">
                  <c:v>7.793585401041643E-3</c:v>
                </c:pt>
                <c:pt idx="10">
                  <c:v>8.9340821220012072E-3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A1-4256-8BC9-D622240D5F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0">
                  <c:v>8.3559999999124557E-2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A1-4256-8BC9-D622240D5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923736"/>
        <c:axId val="1"/>
      </c:scatterChart>
      <c:valAx>
        <c:axId val="6409237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923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BB Vul - O-C Diagr.</a:t>
            </a:r>
          </a:p>
        </c:rich>
      </c:tx>
      <c:layout>
        <c:manualLayout>
          <c:xMode val="edge"/>
          <c:yMode val="edge"/>
          <c:x val="0.3873880179391990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681801452528879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D4-498D-8D9C-2BBA28B982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D4-498D-8D9C-2BBA28B982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6.4600000041536987E-3</c:v>
                </c:pt>
                <c:pt idx="3">
                  <c:v>5.6800000020302832E-3</c:v>
                </c:pt>
                <c:pt idx="6">
                  <c:v>5.7600000000093132E-3</c:v>
                </c:pt>
                <c:pt idx="7">
                  <c:v>5.8199999984935857E-3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D4-498D-8D9C-2BBA28B982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5.5599999977857806E-3</c:v>
                </c:pt>
                <c:pt idx="5">
                  <c:v>5.6200000035460107E-3</c:v>
                </c:pt>
                <c:pt idx="8">
                  <c:v>6.8800000008195639E-3</c:v>
                </c:pt>
                <c:pt idx="9">
                  <c:v>7.6599999956670217E-3</c:v>
                </c:pt>
                <c:pt idx="10">
                  <c:v>8.8000000032479875E-3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D4-498D-8D9C-2BBA28B982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D4-498D-8D9C-2BBA28B982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D4-498D-8D9C-2BBA28B982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1E-4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D4-498D-8D9C-2BBA28B982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-4.5193630071585472E-2</c:v>
                </c:pt>
                <c:pt idx="1">
                  <c:v>1.221063078745508E-4</c:v>
                </c:pt>
                <c:pt idx="2">
                  <c:v>5.6993974565210642E-3</c:v>
                </c:pt>
                <c:pt idx="3">
                  <c:v>5.7538004610266065E-3</c:v>
                </c:pt>
                <c:pt idx="4">
                  <c:v>5.7551113767978241E-3</c:v>
                </c:pt>
                <c:pt idx="5">
                  <c:v>5.7551113767978241E-3</c:v>
                </c:pt>
                <c:pt idx="6">
                  <c:v>5.7551113767978241E-3</c:v>
                </c:pt>
                <c:pt idx="7">
                  <c:v>5.8429427334694226E-3</c:v>
                </c:pt>
                <c:pt idx="8">
                  <c:v>6.828751393425276E-3</c:v>
                </c:pt>
                <c:pt idx="9">
                  <c:v>7.793585401041643E-3</c:v>
                </c:pt>
                <c:pt idx="10">
                  <c:v>8.9340821220012072E-3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D4-498D-8D9C-2BBA28B982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-34568</c:v>
                </c:pt>
                <c:pt idx="1">
                  <c:v>0</c:v>
                </c:pt>
                <c:pt idx="2">
                  <c:v>4254.5</c:v>
                </c:pt>
                <c:pt idx="3">
                  <c:v>4296</c:v>
                </c:pt>
                <c:pt idx="4">
                  <c:v>4297</c:v>
                </c:pt>
                <c:pt idx="5">
                  <c:v>4297</c:v>
                </c:pt>
                <c:pt idx="6">
                  <c:v>4297</c:v>
                </c:pt>
                <c:pt idx="7">
                  <c:v>4364</c:v>
                </c:pt>
                <c:pt idx="8">
                  <c:v>5116</c:v>
                </c:pt>
                <c:pt idx="9">
                  <c:v>5852</c:v>
                </c:pt>
                <c:pt idx="10">
                  <c:v>6722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0">
                  <c:v>8.3559999999124557E-2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D4-498D-8D9C-2BBA28B98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931656"/>
        <c:axId val="1"/>
      </c:scatterChart>
      <c:valAx>
        <c:axId val="640931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931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20752248311303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400050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2B359E0-C5EB-DC91-57C4-B1A41683C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</xdr:colOff>
      <xdr:row>0</xdr:row>
      <xdr:rowOff>0</xdr:rowOff>
    </xdr:from>
    <xdr:to>
      <xdr:col>27</xdr:col>
      <xdr:colOff>190500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BE0FAA0-41F5-3FCF-B223-B6A78D8D9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sfs/BAVM_link.php?BAVMnr=214" TargetMode="External"/><Relationship Id="rId6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29" customFormat="1" ht="20.25" x14ac:dyDescent="0.2">
      <c r="A1" s="55" t="s">
        <v>37</v>
      </c>
    </row>
    <row r="2" spans="1:6" s="29" customFormat="1" ht="12.95" customHeight="1" x14ac:dyDescent="0.2">
      <c r="A2" s="29" t="s">
        <v>23</v>
      </c>
      <c r="B2" s="29" t="s">
        <v>38</v>
      </c>
      <c r="C2" s="30"/>
      <c r="D2" s="30"/>
    </row>
    <row r="3" spans="1:6" s="29" customFormat="1" ht="12.95" customHeight="1" thickBot="1" x14ac:dyDescent="0.25"/>
    <row r="4" spans="1:6" s="29" customFormat="1" ht="12.95" customHeight="1" thickTop="1" thickBot="1" x14ac:dyDescent="0.25">
      <c r="A4" s="31" t="s">
        <v>0</v>
      </c>
      <c r="C4" s="32" t="s">
        <v>35</v>
      </c>
      <c r="D4" s="33" t="s">
        <v>35</v>
      </c>
    </row>
    <row r="5" spans="1:6" s="29" customFormat="1" ht="12.95" customHeight="1" thickTop="1" x14ac:dyDescent="0.2">
      <c r="A5" s="34" t="s">
        <v>28</v>
      </c>
      <c r="C5" s="35">
        <v>-9.5</v>
      </c>
      <c r="D5" s="29" t="s">
        <v>29</v>
      </c>
    </row>
    <row r="6" spans="1:6" s="29" customFormat="1" ht="12.95" customHeight="1" x14ac:dyDescent="0.2">
      <c r="A6" s="31" t="s">
        <v>1</v>
      </c>
    </row>
    <row r="7" spans="1:6" s="29" customFormat="1" ht="12.95" customHeight="1" x14ac:dyDescent="0.2">
      <c r="A7" s="29" t="s">
        <v>2</v>
      </c>
      <c r="C7" s="56">
        <v>51345.913</v>
      </c>
      <c r="D7" s="37" t="s">
        <v>36</v>
      </c>
    </row>
    <row r="8" spans="1:6" s="29" customFormat="1" ht="12.95" customHeight="1" x14ac:dyDescent="0.2">
      <c r="A8" s="29" t="s">
        <v>3</v>
      </c>
      <c r="C8" s="56">
        <v>0.93891999999999998</v>
      </c>
      <c r="D8" s="37" t="s">
        <v>36</v>
      </c>
    </row>
    <row r="9" spans="1:6" s="29" customFormat="1" ht="12.95" customHeight="1" x14ac:dyDescent="0.2">
      <c r="A9" s="38" t="s">
        <v>31</v>
      </c>
      <c r="B9" s="39">
        <v>22</v>
      </c>
      <c r="C9" s="40" t="str">
        <f>"F"&amp;B9</f>
        <v>F22</v>
      </c>
      <c r="D9" s="41" t="str">
        <f>"G"&amp;B9</f>
        <v>G22</v>
      </c>
    </row>
    <row r="10" spans="1:6" s="29" customFormat="1" ht="12.95" customHeight="1" thickBot="1" x14ac:dyDescent="0.25">
      <c r="C10" s="42" t="s">
        <v>19</v>
      </c>
      <c r="D10" s="42" t="s">
        <v>20</v>
      </c>
    </row>
    <row r="11" spans="1:6" s="29" customFormat="1" ht="12.95" customHeight="1" x14ac:dyDescent="0.2">
      <c r="A11" s="29" t="s">
        <v>15</v>
      </c>
      <c r="C11" s="41">
        <f ca="1">INTERCEPT(INDIRECT($D$9):G992,INDIRECT($C$9):F992)</f>
        <v>1.221063078745508E-4</v>
      </c>
      <c r="D11" s="30"/>
    </row>
    <row r="12" spans="1:6" s="29" customFormat="1" ht="12.95" customHeight="1" x14ac:dyDescent="0.2">
      <c r="A12" s="29" t="s">
        <v>16</v>
      </c>
      <c r="C12" s="41">
        <f ca="1">SLOPE(INDIRECT($D$9):G992,INDIRECT($C$9):F992)</f>
        <v>1.3109157712178901E-6</v>
      </c>
      <c r="D12" s="30"/>
      <c r="E12" s="64" t="s">
        <v>99</v>
      </c>
      <c r="F12" s="65" t="s">
        <v>102</v>
      </c>
    </row>
    <row r="13" spans="1:6" s="29" customFormat="1" ht="12.95" customHeight="1" x14ac:dyDescent="0.2">
      <c r="A13" s="29" t="s">
        <v>18</v>
      </c>
      <c r="C13" s="30" t="s">
        <v>13</v>
      </c>
      <c r="E13" s="60" t="s">
        <v>32</v>
      </c>
      <c r="F13" s="63">
        <v>1</v>
      </c>
    </row>
    <row r="14" spans="1:6" s="29" customFormat="1" ht="12.95" customHeight="1" x14ac:dyDescent="0.2">
      <c r="E14" s="60" t="s">
        <v>30</v>
      </c>
      <c r="F14" s="57">
        <f ca="1">NOW()+15018.5+$C$5/24</f>
        <v>60511.682191203705</v>
      </c>
    </row>
    <row r="15" spans="1:6" s="29" customFormat="1" ht="12.95" customHeight="1" x14ac:dyDescent="0.2">
      <c r="A15" s="43" t="s">
        <v>17</v>
      </c>
      <c r="C15" s="44">
        <f ca="1">(C7+C11)+(C8+C12)*INT(MAX(F21:F3533))</f>
        <v>57657.342174082121</v>
      </c>
      <c r="E15" s="61" t="s">
        <v>33</v>
      </c>
      <c r="F15" s="57">
        <f ca="1">ROUND(2*($F$14-$C$7)/$C$8,0)/2+$F$13</f>
        <v>9763</v>
      </c>
    </row>
    <row r="16" spans="1:6" s="29" customFormat="1" ht="12.95" customHeight="1" x14ac:dyDescent="0.2">
      <c r="A16" s="31" t="s">
        <v>4</v>
      </c>
      <c r="C16" s="46">
        <f ca="1">+C8+C12</f>
        <v>0.93892131091577125</v>
      </c>
      <c r="E16" s="61" t="s">
        <v>34</v>
      </c>
      <c r="F16" s="57">
        <f ca="1">ROUND(2*($F$14-$C$15)/$C$16,0)/2+$F$13</f>
        <v>3041</v>
      </c>
    </row>
    <row r="17" spans="1:21" s="29" customFormat="1" ht="12.95" customHeight="1" thickBot="1" x14ac:dyDescent="0.25">
      <c r="A17" s="45" t="s">
        <v>27</v>
      </c>
      <c r="C17" s="29">
        <f>COUNT(C21:C2191)</f>
        <v>11</v>
      </c>
      <c r="E17" s="61" t="s">
        <v>100</v>
      </c>
      <c r="F17" s="58">
        <f ca="1">+$C$15+$C$16*$F$16-15018.5-$C$5/24</f>
        <v>45494.497713910321</v>
      </c>
    </row>
    <row r="18" spans="1:21" s="29" customFormat="1" ht="12.95" customHeight="1" thickTop="1" thickBot="1" x14ac:dyDescent="0.25">
      <c r="A18" s="31" t="s">
        <v>5</v>
      </c>
      <c r="C18" s="47">
        <f ca="1">+C15</f>
        <v>57657.342174082121</v>
      </c>
      <c r="D18" s="48">
        <f ca="1">+C16</f>
        <v>0.93892131091577125</v>
      </c>
      <c r="E18" s="62" t="s">
        <v>101</v>
      </c>
      <c r="F18" s="59">
        <f ca="1">+($C$15+$C$16*$F$16)-($C$16/2)-15018.5-$C$5/24</f>
        <v>45494.028253254866</v>
      </c>
    </row>
    <row r="19" spans="1:21" s="29" customFormat="1" ht="12.95" customHeight="1" thickTop="1" x14ac:dyDescent="0.2">
      <c r="E19" s="45"/>
      <c r="F19" s="49"/>
    </row>
    <row r="20" spans="1:21" s="29" customFormat="1" ht="12.95" customHeight="1" thickBot="1" x14ac:dyDescent="0.25">
      <c r="A20" s="42" t="s">
        <v>6</v>
      </c>
      <c r="B20" s="42" t="s">
        <v>7</v>
      </c>
      <c r="C20" s="42" t="s">
        <v>8</v>
      </c>
      <c r="D20" s="42" t="s">
        <v>12</v>
      </c>
      <c r="E20" s="42" t="s">
        <v>9</v>
      </c>
      <c r="F20" s="42" t="s">
        <v>10</v>
      </c>
      <c r="G20" s="42" t="s">
        <v>11</v>
      </c>
      <c r="H20" s="50" t="s">
        <v>36</v>
      </c>
      <c r="I20" s="50" t="s">
        <v>55</v>
      </c>
      <c r="J20" s="50" t="s">
        <v>49</v>
      </c>
      <c r="K20" s="50" t="s">
        <v>47</v>
      </c>
      <c r="L20" s="50" t="s">
        <v>24</v>
      </c>
      <c r="M20" s="50" t="s">
        <v>25</v>
      </c>
      <c r="N20" s="50" t="s">
        <v>26</v>
      </c>
      <c r="O20" s="50" t="s">
        <v>22</v>
      </c>
      <c r="P20" s="51" t="s">
        <v>21</v>
      </c>
      <c r="Q20" s="42" t="s">
        <v>14</v>
      </c>
      <c r="U20" s="52" t="s">
        <v>97</v>
      </c>
    </row>
    <row r="21" spans="1:21" s="29" customFormat="1" ht="12.95" customHeight="1" x14ac:dyDescent="0.2">
      <c r="A21" s="29" t="s">
        <v>70</v>
      </c>
      <c r="B21" s="30" t="s">
        <v>40</v>
      </c>
      <c r="C21" s="36">
        <v>18889.41</v>
      </c>
      <c r="D21" s="36"/>
      <c r="E21" s="53">
        <f t="shared" ref="E21:E30" si="0">+(C21-C$7)/C$8</f>
        <v>-34567.911004132409</v>
      </c>
      <c r="F21" s="29">
        <f t="shared" ref="F21:F30" si="1">ROUND(2*E21,0)/2</f>
        <v>-34568</v>
      </c>
      <c r="O21" s="29">
        <f t="shared" ref="O21:O30" ca="1" si="2">+C$11+C$12*$F21</f>
        <v>-4.5193630071585472E-2</v>
      </c>
      <c r="Q21" s="54">
        <f t="shared" ref="Q21:Q30" si="3">+C21-15018.5</f>
        <v>3870.91</v>
      </c>
      <c r="U21" s="29">
        <f>+C21-(C$7+F21*C$8)</f>
        <v>8.3559999999124557E-2</v>
      </c>
    </row>
    <row r="22" spans="1:21" s="29" customFormat="1" ht="12.95" customHeight="1" x14ac:dyDescent="0.2">
      <c r="A22" s="53" t="s">
        <v>36</v>
      </c>
      <c r="B22" s="8"/>
      <c r="C22" s="7">
        <v>51345.913</v>
      </c>
      <c r="D22" s="7" t="s">
        <v>13</v>
      </c>
      <c r="E22" s="53">
        <f t="shared" si="0"/>
        <v>0</v>
      </c>
      <c r="F22" s="29">
        <f t="shared" si="1"/>
        <v>0</v>
      </c>
      <c r="G22" s="29">
        <f t="shared" ref="G22:G30" si="4">+C22-(C$7+F22*C$8)</f>
        <v>0</v>
      </c>
      <c r="H22" s="29">
        <f>+G22</f>
        <v>0</v>
      </c>
      <c r="O22" s="29">
        <f t="shared" ca="1" si="2"/>
        <v>1.221063078745508E-4</v>
      </c>
      <c r="Q22" s="54">
        <f t="shared" si="3"/>
        <v>36327.413</v>
      </c>
    </row>
    <row r="23" spans="1:21" s="29" customFormat="1" ht="12.95" customHeight="1" x14ac:dyDescent="0.2">
      <c r="A23" s="7" t="s">
        <v>39</v>
      </c>
      <c r="B23" s="8" t="s">
        <v>40</v>
      </c>
      <c r="C23" s="7">
        <v>55340.554600000003</v>
      </c>
      <c r="D23" s="7">
        <v>6.9999999999999999E-4</v>
      </c>
      <c r="E23" s="53">
        <f t="shared" si="0"/>
        <v>4254.5068802453916</v>
      </c>
      <c r="F23" s="29">
        <f t="shared" si="1"/>
        <v>4254.5</v>
      </c>
      <c r="G23" s="29">
        <f t="shared" si="4"/>
        <v>6.4600000041536987E-3</v>
      </c>
      <c r="J23" s="29">
        <f>+G23</f>
        <v>6.4600000041536987E-3</v>
      </c>
      <c r="O23" s="29">
        <f t="shared" ca="1" si="2"/>
        <v>5.6993974565210642E-3</v>
      </c>
      <c r="Q23" s="54">
        <f t="shared" si="3"/>
        <v>40322.054600000003</v>
      </c>
    </row>
    <row r="24" spans="1:21" s="29" customFormat="1" ht="12.95" customHeight="1" x14ac:dyDescent="0.2">
      <c r="A24" s="7" t="s">
        <v>39</v>
      </c>
      <c r="B24" s="8" t="s">
        <v>40</v>
      </c>
      <c r="C24" s="7">
        <v>55379.519</v>
      </c>
      <c r="D24" s="7">
        <v>6.9999999999999999E-4</v>
      </c>
      <c r="E24" s="53">
        <f t="shared" si="0"/>
        <v>4296.0060495036851</v>
      </c>
      <c r="F24" s="29">
        <f t="shared" si="1"/>
        <v>4296</v>
      </c>
      <c r="G24" s="29">
        <f t="shared" si="4"/>
        <v>5.6800000020302832E-3</v>
      </c>
      <c r="J24" s="29">
        <f>+G24</f>
        <v>5.6800000020302832E-3</v>
      </c>
      <c r="O24" s="29">
        <f t="shared" ca="1" si="2"/>
        <v>5.7538004610266065E-3</v>
      </c>
      <c r="Q24" s="54">
        <f t="shared" si="3"/>
        <v>40361.019</v>
      </c>
    </row>
    <row r="25" spans="1:21" s="29" customFormat="1" ht="12.95" customHeight="1" x14ac:dyDescent="0.2">
      <c r="A25" s="29" t="s">
        <v>62</v>
      </c>
      <c r="B25" s="30" t="s">
        <v>40</v>
      </c>
      <c r="C25" s="36">
        <v>55380.457799999996</v>
      </c>
      <c r="D25" s="36"/>
      <c r="E25" s="53">
        <f t="shared" si="0"/>
        <v>4297.005921697265</v>
      </c>
      <c r="F25" s="29">
        <f t="shared" si="1"/>
        <v>4297</v>
      </c>
      <c r="G25" s="29">
        <f t="shared" si="4"/>
        <v>5.5599999977857806E-3</v>
      </c>
      <c r="K25" s="29">
        <f>+G25</f>
        <v>5.5599999977857806E-3</v>
      </c>
      <c r="O25" s="29">
        <f t="shared" ca="1" si="2"/>
        <v>5.7551113767978241E-3</v>
      </c>
      <c r="Q25" s="54">
        <f t="shared" si="3"/>
        <v>40361.957799999996</v>
      </c>
    </row>
    <row r="26" spans="1:21" s="29" customFormat="1" ht="12.95" customHeight="1" x14ac:dyDescent="0.2">
      <c r="A26" s="7" t="s">
        <v>41</v>
      </c>
      <c r="B26" s="8" t="s">
        <v>40</v>
      </c>
      <c r="C26" s="7">
        <v>55380.457860000002</v>
      </c>
      <c r="D26" s="7">
        <v>1E-4</v>
      </c>
      <c r="E26" s="53">
        <f t="shared" si="0"/>
        <v>4297.0059856004791</v>
      </c>
      <c r="F26" s="29">
        <f t="shared" si="1"/>
        <v>4297</v>
      </c>
      <c r="G26" s="29">
        <f t="shared" si="4"/>
        <v>5.6200000035460107E-3</v>
      </c>
      <c r="K26" s="29">
        <f>+G26</f>
        <v>5.6200000035460107E-3</v>
      </c>
      <c r="O26" s="29">
        <f t="shared" ca="1" si="2"/>
        <v>5.7551113767978241E-3</v>
      </c>
      <c r="Q26" s="54">
        <f t="shared" si="3"/>
        <v>40361.957860000002</v>
      </c>
    </row>
    <row r="27" spans="1:21" x14ac:dyDescent="0.2">
      <c r="A27" s="7" t="s">
        <v>39</v>
      </c>
      <c r="B27" s="8" t="s">
        <v>40</v>
      </c>
      <c r="C27" s="7">
        <v>55380.457999999999</v>
      </c>
      <c r="D27" s="7">
        <v>6.9999999999999999E-4</v>
      </c>
      <c r="E27" s="5">
        <f t="shared" si="0"/>
        <v>4297.0061347079609</v>
      </c>
      <c r="F27">
        <f t="shared" si="1"/>
        <v>4297</v>
      </c>
      <c r="G27">
        <f t="shared" si="4"/>
        <v>5.7600000000093132E-3</v>
      </c>
      <c r="J27">
        <f>+G27</f>
        <v>5.7600000000093132E-3</v>
      </c>
      <c r="O27">
        <f t="shared" ca="1" si="2"/>
        <v>5.7551113767978241E-3</v>
      </c>
      <c r="Q27" s="1">
        <f t="shared" si="3"/>
        <v>40361.957999999999</v>
      </c>
    </row>
    <row r="28" spans="1:21" x14ac:dyDescent="0.2">
      <c r="A28" s="25" t="s">
        <v>43</v>
      </c>
      <c r="B28" s="66"/>
      <c r="C28" s="6">
        <v>55443.365700000002</v>
      </c>
      <c r="D28" s="6">
        <v>6.9999999999999999E-4</v>
      </c>
      <c r="E28" s="5">
        <f t="shared" si="0"/>
        <v>4364.0061986111723</v>
      </c>
      <c r="F28">
        <f t="shared" si="1"/>
        <v>4364</v>
      </c>
      <c r="G28">
        <f t="shared" si="4"/>
        <v>5.8199999984935857E-3</v>
      </c>
      <c r="J28">
        <f>+G28</f>
        <v>5.8199999984935857E-3</v>
      </c>
      <c r="O28">
        <f t="shared" ca="1" si="2"/>
        <v>5.8429427334694226E-3</v>
      </c>
      <c r="Q28" s="1">
        <f t="shared" si="3"/>
        <v>40424.865700000002</v>
      </c>
    </row>
    <row r="29" spans="1:21" x14ac:dyDescent="0.2">
      <c r="A29" s="25" t="s">
        <v>42</v>
      </c>
      <c r="B29" s="26" t="s">
        <v>40</v>
      </c>
      <c r="C29" s="6">
        <v>56149.434600000001</v>
      </c>
      <c r="D29" s="6">
        <v>6.9999999999999999E-4</v>
      </c>
      <c r="E29" s="5">
        <f t="shared" si="0"/>
        <v>5116.0073275678442</v>
      </c>
      <c r="F29">
        <f t="shared" si="1"/>
        <v>5116</v>
      </c>
      <c r="G29">
        <f t="shared" si="4"/>
        <v>6.8800000008195639E-3</v>
      </c>
      <c r="K29">
        <f>+G29</f>
        <v>6.8800000008195639E-3</v>
      </c>
      <c r="O29">
        <f t="shared" ca="1" si="2"/>
        <v>6.828751393425276E-3</v>
      </c>
      <c r="Q29" s="1">
        <f t="shared" si="3"/>
        <v>41130.934600000001</v>
      </c>
    </row>
    <row r="30" spans="1:21" x14ac:dyDescent="0.2">
      <c r="A30" s="27" t="s">
        <v>44</v>
      </c>
      <c r="B30" s="28" t="s">
        <v>40</v>
      </c>
      <c r="C30" s="27">
        <v>56840.480499999998</v>
      </c>
      <c r="D30" s="27">
        <v>1E-4</v>
      </c>
      <c r="E30" s="5">
        <f t="shared" si="0"/>
        <v>5852.0081583095443</v>
      </c>
      <c r="F30">
        <f t="shared" si="1"/>
        <v>5852</v>
      </c>
      <c r="G30">
        <f t="shared" si="4"/>
        <v>7.6599999956670217E-3</v>
      </c>
      <c r="K30">
        <f>+G30</f>
        <v>7.6599999956670217E-3</v>
      </c>
      <c r="O30">
        <f t="shared" ca="1" si="2"/>
        <v>7.793585401041643E-3</v>
      </c>
      <c r="Q30" s="1">
        <f t="shared" si="3"/>
        <v>41821.980499999998</v>
      </c>
    </row>
    <row r="31" spans="1:21" x14ac:dyDescent="0.2">
      <c r="A31" s="22" t="s">
        <v>98</v>
      </c>
      <c r="B31" s="23" t="s">
        <v>40</v>
      </c>
      <c r="C31" s="24">
        <v>57657.342040000003</v>
      </c>
      <c r="D31" s="24">
        <v>1E-4</v>
      </c>
      <c r="E31" s="5">
        <f t="shared" ref="E31" si="5">+(C31-C$7)/C$8</f>
        <v>6722.0093724705011</v>
      </c>
      <c r="F31">
        <f t="shared" ref="F31" si="6">ROUND(2*E31,0)/2</f>
        <v>6722</v>
      </c>
      <c r="G31">
        <f t="shared" ref="G31" si="7">+C31-(C$7+F31*C$8)</f>
        <v>8.8000000032479875E-3</v>
      </c>
      <c r="K31">
        <f>+G31</f>
        <v>8.8000000032479875E-3</v>
      </c>
      <c r="O31">
        <f t="shared" ref="O31" ca="1" si="8">+C$11+C$12*$F31</f>
        <v>8.9340821220012072E-3</v>
      </c>
      <c r="Q31" s="1">
        <f t="shared" ref="Q31" si="9">+C31-15018.5</f>
        <v>42638.842040000003</v>
      </c>
    </row>
    <row r="32" spans="1:21" x14ac:dyDescent="0.2">
      <c r="B32" s="2"/>
      <c r="C32" s="3"/>
      <c r="D32" s="3"/>
      <c r="Q32" s="1"/>
    </row>
    <row r="33" spans="2:17" x14ac:dyDescent="0.2">
      <c r="B33" s="2"/>
      <c r="C33" s="3"/>
      <c r="D33" s="3"/>
      <c r="Q33" s="1"/>
    </row>
    <row r="34" spans="2:17" x14ac:dyDescent="0.2">
      <c r="B34" s="2"/>
      <c r="C34" s="3"/>
      <c r="D34" s="3"/>
    </row>
    <row r="35" spans="2:17" x14ac:dyDescent="0.2">
      <c r="B35" s="2"/>
      <c r="C35" s="3"/>
      <c r="D35" s="3"/>
    </row>
    <row r="36" spans="2:17" x14ac:dyDescent="0.2">
      <c r="B36" s="2"/>
      <c r="C36" s="3"/>
      <c r="D36" s="3"/>
    </row>
    <row r="37" spans="2:17" x14ac:dyDescent="0.2">
      <c r="B37" s="2"/>
      <c r="C37" s="3"/>
      <c r="D37" s="3"/>
    </row>
    <row r="38" spans="2:17" x14ac:dyDescent="0.2">
      <c r="B38" s="2"/>
      <c r="C38" s="3"/>
      <c r="D38" s="3"/>
    </row>
    <row r="39" spans="2:17" x14ac:dyDescent="0.2">
      <c r="B39" s="2"/>
      <c r="C39" s="3"/>
      <c r="D39" s="3"/>
    </row>
    <row r="40" spans="2:17" x14ac:dyDescent="0.2">
      <c r="B40" s="2"/>
      <c r="C40" s="3"/>
      <c r="D40" s="3"/>
    </row>
    <row r="41" spans="2:17" x14ac:dyDescent="0.2">
      <c r="B41" s="2"/>
      <c r="C41" s="3"/>
      <c r="D41" s="3"/>
    </row>
    <row r="42" spans="2:17" x14ac:dyDescent="0.2">
      <c r="C42" s="3"/>
      <c r="D42" s="3"/>
    </row>
    <row r="43" spans="2:17" x14ac:dyDescent="0.2">
      <c r="C43" s="3"/>
      <c r="D43" s="3"/>
    </row>
    <row r="44" spans="2:17" x14ac:dyDescent="0.2">
      <c r="C44" s="3"/>
      <c r="D44" s="3"/>
    </row>
    <row r="45" spans="2:17" x14ac:dyDescent="0.2">
      <c r="C45" s="3"/>
      <c r="D45" s="3"/>
    </row>
    <row r="46" spans="2:17" x14ac:dyDescent="0.2">
      <c r="C46" s="3"/>
      <c r="D46" s="3"/>
    </row>
    <row r="47" spans="2:17" x14ac:dyDescent="0.2">
      <c r="C47" s="3"/>
      <c r="D47" s="3"/>
    </row>
    <row r="48" spans="2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4"/>
  <sheetViews>
    <sheetView workbookViewId="0">
      <selection activeCell="A17" sqref="A17:C18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9" t="s">
        <v>45</v>
      </c>
      <c r="I1" s="10" t="s">
        <v>46</v>
      </c>
      <c r="J1" s="11" t="s">
        <v>47</v>
      </c>
    </row>
    <row r="2" spans="1:16" x14ac:dyDescent="0.2">
      <c r="I2" s="12" t="s">
        <v>48</v>
      </c>
      <c r="J2" s="13" t="s">
        <v>49</v>
      </c>
    </row>
    <row r="3" spans="1:16" x14ac:dyDescent="0.2">
      <c r="A3" s="14" t="s">
        <v>50</v>
      </c>
      <c r="I3" s="12" t="s">
        <v>51</v>
      </c>
      <c r="J3" s="13" t="s">
        <v>52</v>
      </c>
    </row>
    <row r="4" spans="1:16" x14ac:dyDescent="0.2">
      <c r="I4" s="12" t="s">
        <v>53</v>
      </c>
      <c r="J4" s="13" t="s">
        <v>52</v>
      </c>
    </row>
    <row r="5" spans="1:16" ht="13.5" thickBot="1" x14ac:dyDescent="0.25">
      <c r="I5" s="15" t="s">
        <v>54</v>
      </c>
      <c r="J5" s="16" t="s">
        <v>55</v>
      </c>
    </row>
    <row r="10" spans="1:16" ht="13.5" thickBot="1" x14ac:dyDescent="0.25"/>
    <row r="11" spans="1:16" ht="12.75" customHeight="1" thickBot="1" x14ac:dyDescent="0.25">
      <c r="A11" s="3" t="str">
        <f t="shared" ref="A11:A18" si="0">P11</f>
        <v>BAVM 214 </v>
      </c>
      <c r="B11" s="2" t="str">
        <f t="shared" ref="B11:B18" si="1">IF(H11=INT(H11),"I","II")</f>
        <v>II</v>
      </c>
      <c r="C11" s="3">
        <f t="shared" ref="C11:C18" si="2">1*G11</f>
        <v>55340.554600000003</v>
      </c>
      <c r="D11" s="4" t="str">
        <f t="shared" ref="D11:D18" si="3">VLOOKUP(F11,I$1:J$5,2,FALSE)</f>
        <v>vis</v>
      </c>
      <c r="E11" s="17">
        <f>VLOOKUP(C11,Active!C$21:E$973,3,FALSE)</f>
        <v>4254.5068802453916</v>
      </c>
      <c r="F11" s="2" t="s">
        <v>54</v>
      </c>
      <c r="G11" s="4" t="str">
        <f t="shared" ref="G11:G18" si="4">MID(I11,3,LEN(I11)-3)</f>
        <v>55340.5546</v>
      </c>
      <c r="H11" s="3">
        <f t="shared" ref="H11:H18" si="5">1*K11</f>
        <v>3024.5</v>
      </c>
      <c r="I11" s="18" t="s">
        <v>71</v>
      </c>
      <c r="J11" s="19" t="s">
        <v>72</v>
      </c>
      <c r="K11" s="18">
        <v>3024.5</v>
      </c>
      <c r="L11" s="18" t="s">
        <v>73</v>
      </c>
      <c r="M11" s="19" t="s">
        <v>59</v>
      </c>
      <c r="N11" s="19" t="s">
        <v>61</v>
      </c>
      <c r="O11" s="20" t="s">
        <v>74</v>
      </c>
      <c r="P11" s="21" t="s">
        <v>75</v>
      </c>
    </row>
    <row r="12" spans="1:16" ht="12.75" customHeight="1" thickBot="1" x14ac:dyDescent="0.25">
      <c r="A12" s="3" t="str">
        <f t="shared" si="0"/>
        <v>BAVM 214 </v>
      </c>
      <c r="B12" s="2" t="str">
        <f t="shared" si="1"/>
        <v>I</v>
      </c>
      <c r="C12" s="3">
        <f t="shared" si="2"/>
        <v>55379.519</v>
      </c>
      <c r="D12" s="4" t="str">
        <f t="shared" si="3"/>
        <v>vis</v>
      </c>
      <c r="E12" s="17">
        <f>VLOOKUP(C12,Active!C$21:E$973,3,FALSE)</f>
        <v>4296.0060495036851</v>
      </c>
      <c r="F12" s="2" t="s">
        <v>54</v>
      </c>
      <c r="G12" s="4" t="str">
        <f t="shared" si="4"/>
        <v>55379.5190</v>
      </c>
      <c r="H12" s="3">
        <f t="shared" si="5"/>
        <v>3066</v>
      </c>
      <c r="I12" s="18" t="s">
        <v>76</v>
      </c>
      <c r="J12" s="19" t="s">
        <v>77</v>
      </c>
      <c r="K12" s="18">
        <v>3066</v>
      </c>
      <c r="L12" s="18" t="s">
        <v>78</v>
      </c>
      <c r="M12" s="19" t="s">
        <v>59</v>
      </c>
      <c r="N12" s="19" t="s">
        <v>60</v>
      </c>
      <c r="O12" s="20" t="s">
        <v>74</v>
      </c>
      <c r="P12" s="21" t="s">
        <v>75</v>
      </c>
    </row>
    <row r="13" spans="1:16" ht="12.75" customHeight="1" thickBot="1" x14ac:dyDescent="0.25">
      <c r="A13" s="3" t="str">
        <f t="shared" si="0"/>
        <v>BAVM 214 </v>
      </c>
      <c r="B13" s="2" t="str">
        <f t="shared" si="1"/>
        <v>I</v>
      </c>
      <c r="C13" s="3">
        <f t="shared" si="2"/>
        <v>55380.457999999999</v>
      </c>
      <c r="D13" s="4" t="str">
        <f t="shared" si="3"/>
        <v>vis</v>
      </c>
      <c r="E13" s="17">
        <f>VLOOKUP(C13,Active!C$21:E$973,3,FALSE)</f>
        <v>4297.0061347079609</v>
      </c>
      <c r="F13" s="2" t="s">
        <v>54</v>
      </c>
      <c r="G13" s="4" t="str">
        <f t="shared" si="4"/>
        <v>55380.4580</v>
      </c>
      <c r="H13" s="3">
        <f t="shared" si="5"/>
        <v>3067</v>
      </c>
      <c r="I13" s="18" t="s">
        <v>84</v>
      </c>
      <c r="J13" s="19" t="s">
        <v>80</v>
      </c>
      <c r="K13" s="18" t="s">
        <v>81</v>
      </c>
      <c r="L13" s="18" t="s">
        <v>85</v>
      </c>
      <c r="M13" s="19" t="s">
        <v>59</v>
      </c>
      <c r="N13" s="19" t="s">
        <v>60</v>
      </c>
      <c r="O13" s="20" t="s">
        <v>74</v>
      </c>
      <c r="P13" s="21" t="s">
        <v>75</v>
      </c>
    </row>
    <row r="14" spans="1:16" ht="12.75" customHeight="1" thickBot="1" x14ac:dyDescent="0.25">
      <c r="A14" s="3" t="str">
        <f t="shared" si="0"/>
        <v>BAVM 215 </v>
      </c>
      <c r="B14" s="2" t="str">
        <f t="shared" si="1"/>
        <v>I</v>
      </c>
      <c r="C14" s="3">
        <f t="shared" si="2"/>
        <v>55443.365700000002</v>
      </c>
      <c r="D14" s="4" t="str">
        <f t="shared" si="3"/>
        <v>vis</v>
      </c>
      <c r="E14" s="17">
        <f>VLOOKUP(C14,Active!C$21:E$973,3,FALSE)</f>
        <v>4364.0061986111723</v>
      </c>
      <c r="F14" s="2" t="s">
        <v>54</v>
      </c>
      <c r="G14" s="4" t="str">
        <f t="shared" si="4"/>
        <v>55443.3657</v>
      </c>
      <c r="H14" s="3">
        <f t="shared" si="5"/>
        <v>3134</v>
      </c>
      <c r="I14" s="18" t="s">
        <v>86</v>
      </c>
      <c r="J14" s="19" t="s">
        <v>87</v>
      </c>
      <c r="K14" s="18" t="s">
        <v>88</v>
      </c>
      <c r="L14" s="18" t="s">
        <v>85</v>
      </c>
      <c r="M14" s="19" t="s">
        <v>59</v>
      </c>
      <c r="N14" s="19" t="s">
        <v>61</v>
      </c>
      <c r="O14" s="20" t="s">
        <v>74</v>
      </c>
      <c r="P14" s="21" t="s">
        <v>89</v>
      </c>
    </row>
    <row r="15" spans="1:16" ht="12.75" customHeight="1" thickBot="1" x14ac:dyDescent="0.25">
      <c r="A15" s="3" t="str">
        <f t="shared" si="0"/>
        <v>BAVM 231 </v>
      </c>
      <c r="B15" s="2" t="str">
        <f t="shared" si="1"/>
        <v>I</v>
      </c>
      <c r="C15" s="3">
        <f t="shared" si="2"/>
        <v>56149.434600000001</v>
      </c>
      <c r="D15" s="4" t="str">
        <f t="shared" si="3"/>
        <v>vis</v>
      </c>
      <c r="E15" s="17">
        <f>VLOOKUP(C15,Active!C$21:E$973,3,FALSE)</f>
        <v>5116.0073275678442</v>
      </c>
      <c r="F15" s="2" t="s">
        <v>54</v>
      </c>
      <c r="G15" s="4" t="str">
        <f t="shared" si="4"/>
        <v>56149.4346</v>
      </c>
      <c r="H15" s="3">
        <f t="shared" si="5"/>
        <v>3886</v>
      </c>
      <c r="I15" s="18" t="s">
        <v>90</v>
      </c>
      <c r="J15" s="19" t="s">
        <v>91</v>
      </c>
      <c r="K15" s="18" t="s">
        <v>92</v>
      </c>
      <c r="L15" s="18" t="s">
        <v>58</v>
      </c>
      <c r="M15" s="19" t="s">
        <v>59</v>
      </c>
      <c r="N15" s="19" t="s">
        <v>61</v>
      </c>
      <c r="O15" s="20" t="s">
        <v>74</v>
      </c>
      <c r="P15" s="21" t="s">
        <v>64</v>
      </c>
    </row>
    <row r="16" spans="1:16" ht="12.75" customHeight="1" thickBot="1" x14ac:dyDescent="0.25">
      <c r="A16" s="3" t="str">
        <f t="shared" si="0"/>
        <v>BAVM 238 </v>
      </c>
      <c r="B16" s="2" t="str">
        <f t="shared" si="1"/>
        <v>I</v>
      </c>
      <c r="C16" s="3">
        <f t="shared" si="2"/>
        <v>56840.480499999998</v>
      </c>
      <c r="D16" s="4" t="str">
        <f t="shared" si="3"/>
        <v>vis</v>
      </c>
      <c r="E16" s="17">
        <f>VLOOKUP(C16,Active!C$21:E$973,3,FALSE)</f>
        <v>5852.0081583095443</v>
      </c>
      <c r="F16" s="2" t="s">
        <v>54</v>
      </c>
      <c r="G16" s="4" t="str">
        <f t="shared" si="4"/>
        <v>56840.4805</v>
      </c>
      <c r="H16" s="3">
        <f t="shared" si="5"/>
        <v>4622</v>
      </c>
      <c r="I16" s="18" t="s">
        <v>93</v>
      </c>
      <c r="J16" s="19" t="s">
        <v>94</v>
      </c>
      <c r="K16" s="18" t="s">
        <v>95</v>
      </c>
      <c r="L16" s="18" t="s">
        <v>57</v>
      </c>
      <c r="M16" s="19" t="s">
        <v>59</v>
      </c>
      <c r="N16" s="19" t="s">
        <v>61</v>
      </c>
      <c r="O16" s="20" t="s">
        <v>96</v>
      </c>
      <c r="P16" s="21" t="s">
        <v>65</v>
      </c>
    </row>
    <row r="17" spans="1:16" ht="12.75" customHeight="1" thickBot="1" x14ac:dyDescent="0.25">
      <c r="A17" s="3" t="str">
        <f t="shared" si="0"/>
        <v> PZ 4.134 </v>
      </c>
      <c r="B17" s="2" t="str">
        <f t="shared" si="1"/>
        <v>I</v>
      </c>
      <c r="C17" s="3">
        <f t="shared" si="2"/>
        <v>18889.41</v>
      </c>
      <c r="D17" s="4" t="str">
        <f t="shared" si="3"/>
        <v>vis</v>
      </c>
      <c r="E17" s="17">
        <f>VLOOKUP(C17,Active!C$21:E$973,3,FALSE)</f>
        <v>-34567.911004132409</v>
      </c>
      <c r="F17" s="2" t="s">
        <v>54</v>
      </c>
      <c r="G17" s="4" t="str">
        <f t="shared" si="4"/>
        <v>18889.41</v>
      </c>
      <c r="H17" s="3">
        <f t="shared" si="5"/>
        <v>-35798</v>
      </c>
      <c r="I17" s="18" t="s">
        <v>66</v>
      </c>
      <c r="J17" s="19" t="s">
        <v>67</v>
      </c>
      <c r="K17" s="18">
        <v>-35798</v>
      </c>
      <c r="L17" s="18" t="s">
        <v>68</v>
      </c>
      <c r="M17" s="19" t="s">
        <v>56</v>
      </c>
      <c r="N17" s="19"/>
      <c r="O17" s="20" t="s">
        <v>69</v>
      </c>
      <c r="P17" s="20" t="s">
        <v>70</v>
      </c>
    </row>
    <row r="18" spans="1:16" ht="12.75" customHeight="1" thickBot="1" x14ac:dyDescent="0.25">
      <c r="A18" s="3" t="str">
        <f t="shared" si="0"/>
        <v>OEJV 0137 </v>
      </c>
      <c r="B18" s="2" t="str">
        <f t="shared" si="1"/>
        <v>I</v>
      </c>
      <c r="C18" s="3">
        <f t="shared" si="2"/>
        <v>55380.457799999996</v>
      </c>
      <c r="D18" s="4" t="str">
        <f t="shared" si="3"/>
        <v>vis</v>
      </c>
      <c r="E18" s="17">
        <f>VLOOKUP(C18,Active!C$21:E$973,3,FALSE)</f>
        <v>4297.005921697265</v>
      </c>
      <c r="F18" s="2" t="s">
        <v>54</v>
      </c>
      <c r="G18" s="4" t="str">
        <f t="shared" si="4"/>
        <v>55380.4578</v>
      </c>
      <c r="H18" s="3">
        <f t="shared" si="5"/>
        <v>3067</v>
      </c>
      <c r="I18" s="18" t="s">
        <v>79</v>
      </c>
      <c r="J18" s="19" t="s">
        <v>80</v>
      </c>
      <c r="K18" s="18" t="s">
        <v>81</v>
      </c>
      <c r="L18" s="18" t="s">
        <v>82</v>
      </c>
      <c r="M18" s="19" t="s">
        <v>59</v>
      </c>
      <c r="N18" s="19" t="s">
        <v>63</v>
      </c>
      <c r="O18" s="20" t="s">
        <v>83</v>
      </c>
      <c r="P18" s="21" t="s">
        <v>62</v>
      </c>
    </row>
    <row r="19" spans="1:16" x14ac:dyDescent="0.2">
      <c r="B19" s="2"/>
      <c r="E19" s="17"/>
      <c r="F19" s="2"/>
    </row>
    <row r="20" spans="1:16" x14ac:dyDescent="0.2">
      <c r="B20" s="2"/>
      <c r="E20" s="17"/>
      <c r="F20" s="2"/>
    </row>
    <row r="21" spans="1:16" x14ac:dyDescent="0.2">
      <c r="B21" s="2"/>
      <c r="E21" s="17"/>
      <c r="F21" s="2"/>
    </row>
    <row r="22" spans="1:16" x14ac:dyDescent="0.2">
      <c r="B22" s="2"/>
      <c r="E22" s="17"/>
      <c r="F22" s="2"/>
    </row>
    <row r="23" spans="1:16" x14ac:dyDescent="0.2">
      <c r="B23" s="2"/>
      <c r="E23" s="17"/>
      <c r="F23" s="2"/>
    </row>
    <row r="24" spans="1:16" x14ac:dyDescent="0.2">
      <c r="B24" s="2"/>
      <c r="E24" s="17"/>
      <c r="F24" s="2"/>
    </row>
    <row r="25" spans="1:16" x14ac:dyDescent="0.2">
      <c r="B25" s="2"/>
      <c r="E25" s="17"/>
      <c r="F25" s="2"/>
    </row>
    <row r="26" spans="1:16" x14ac:dyDescent="0.2">
      <c r="B26" s="2"/>
      <c r="E26" s="17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</sheetData>
  <phoneticPr fontId="7" type="noConversion"/>
  <hyperlinks>
    <hyperlink ref="P11" r:id="rId1" display="http://www.bav-astro.de/sfs/BAVM_link.php?BAVMnr=214" xr:uid="{00000000-0004-0000-0100-000000000000}"/>
    <hyperlink ref="P12" r:id="rId2" display="http://www.bav-astro.de/sfs/BAVM_link.php?BAVMnr=214" xr:uid="{00000000-0004-0000-0100-000001000000}"/>
    <hyperlink ref="P18" r:id="rId3" display="http://var.astro.cz/oejv/issues/oejv0137.pdf" xr:uid="{00000000-0004-0000-0100-000002000000}"/>
    <hyperlink ref="P13" r:id="rId4" display="http://www.bav-astro.de/sfs/BAVM_link.php?BAVMnr=214" xr:uid="{00000000-0004-0000-0100-000003000000}"/>
    <hyperlink ref="P14" r:id="rId5" display="http://www.bav-astro.de/sfs/BAVM_link.php?BAVMnr=215" xr:uid="{00000000-0004-0000-0100-000004000000}"/>
    <hyperlink ref="P15" r:id="rId6" display="http://www.bav-astro.de/sfs/BAVM_link.php?BAVMnr=231" xr:uid="{00000000-0004-0000-0100-000005000000}"/>
    <hyperlink ref="P16" r:id="rId7" display="http://www.bav-astro.de/sfs/BAVM_link.php?BAVMnr=238" xr:uid="{00000000-0004-0000-0100-00000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2024-07-20T04:22:21Z</dcterms:modified>
</cp:coreProperties>
</file>