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5A9F254-3E0A-470A-8828-AB9DCE9371C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F11" i="1"/>
  <c r="G11" i="1"/>
  <c r="E15" i="1"/>
  <c r="C17" i="1"/>
  <c r="E21" i="1"/>
  <c r="F21" i="1"/>
  <c r="G21" i="1"/>
  <c r="I21" i="1"/>
  <c r="Q21" i="1"/>
  <c r="E22" i="1"/>
  <c r="F22" i="1"/>
  <c r="G22" i="1"/>
  <c r="H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I37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J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D13" i="2"/>
  <c r="G13" i="2"/>
  <c r="C13" i="2"/>
  <c r="E13" i="2"/>
  <c r="H13" i="2"/>
  <c r="B13" i="2"/>
  <c r="A14" i="2"/>
  <c r="C14" i="2"/>
  <c r="E14" i="2"/>
  <c r="D14" i="2"/>
  <c r="G14" i="2"/>
  <c r="H14" i="2"/>
  <c r="B14" i="2"/>
  <c r="A15" i="2"/>
  <c r="C15" i="2"/>
  <c r="E15" i="2"/>
  <c r="D15" i="2"/>
  <c r="G15" i="2"/>
  <c r="H15" i="2"/>
  <c r="B15" i="2"/>
  <c r="A16" i="2"/>
  <c r="B16" i="2"/>
  <c r="D16" i="2"/>
  <c r="G16" i="2"/>
  <c r="C16" i="2"/>
  <c r="E16" i="2"/>
  <c r="H16" i="2"/>
  <c r="A17" i="2"/>
  <c r="B17" i="2"/>
  <c r="D17" i="2"/>
  <c r="G17" i="2"/>
  <c r="C17" i="2"/>
  <c r="E17" i="2"/>
  <c r="H17" i="2"/>
  <c r="A18" i="2"/>
  <c r="C18" i="2"/>
  <c r="E18" i="2"/>
  <c r="D18" i="2"/>
  <c r="G18" i="2"/>
  <c r="H18" i="2"/>
  <c r="B18" i="2"/>
  <c r="A19" i="2"/>
  <c r="C19" i="2"/>
  <c r="D19" i="2"/>
  <c r="E19" i="2"/>
  <c r="G19" i="2"/>
  <c r="H19" i="2"/>
  <c r="B19" i="2"/>
  <c r="A20" i="2"/>
  <c r="B20" i="2"/>
  <c r="D20" i="2"/>
  <c r="G20" i="2"/>
  <c r="C20" i="2"/>
  <c r="E20" i="2"/>
  <c r="H20" i="2"/>
  <c r="A21" i="2"/>
  <c r="D21" i="2"/>
  <c r="G21" i="2"/>
  <c r="C21" i="2"/>
  <c r="E21" i="2"/>
  <c r="H21" i="2"/>
  <c r="B21" i="2"/>
  <c r="A22" i="2"/>
  <c r="C22" i="2"/>
  <c r="E22" i="2"/>
  <c r="D22" i="2"/>
  <c r="G22" i="2"/>
  <c r="H22" i="2"/>
  <c r="B22" i="2"/>
  <c r="A23" i="2"/>
  <c r="C23" i="2"/>
  <c r="E23" i="2"/>
  <c r="D23" i="2"/>
  <c r="G23" i="2"/>
  <c r="H23" i="2"/>
  <c r="B23" i="2"/>
  <c r="A24" i="2"/>
  <c r="B24" i="2"/>
  <c r="D24" i="2"/>
  <c r="G24" i="2"/>
  <c r="C24" i="2"/>
  <c r="E24" i="2"/>
  <c r="H24" i="2"/>
  <c r="A25" i="2"/>
  <c r="B25" i="2"/>
  <c r="D25" i="2"/>
  <c r="G25" i="2"/>
  <c r="C25" i="2"/>
  <c r="E25" i="2"/>
  <c r="H25" i="2"/>
  <c r="A26" i="2"/>
  <c r="C26" i="2"/>
  <c r="E26" i="2"/>
  <c r="D26" i="2"/>
  <c r="G26" i="2"/>
  <c r="H26" i="2"/>
  <c r="B26" i="2"/>
  <c r="A27" i="2"/>
  <c r="C27" i="2"/>
  <c r="D27" i="2"/>
  <c r="E27" i="2"/>
  <c r="G27" i="2"/>
  <c r="H27" i="2"/>
  <c r="B27" i="2"/>
  <c r="A28" i="2"/>
  <c r="B28" i="2"/>
  <c r="D28" i="2"/>
  <c r="G28" i="2"/>
  <c r="C28" i="2"/>
  <c r="E28" i="2"/>
  <c r="H28" i="2"/>
  <c r="A29" i="2"/>
  <c r="D29" i="2"/>
  <c r="G29" i="2"/>
  <c r="C29" i="2"/>
  <c r="E29" i="2"/>
  <c r="H29" i="2"/>
  <c r="B29" i="2"/>
  <c r="A30" i="2"/>
  <c r="C30" i="2"/>
  <c r="E30" i="2"/>
  <c r="D30" i="2"/>
  <c r="G30" i="2"/>
  <c r="H30" i="2"/>
  <c r="B30" i="2"/>
  <c r="A31" i="2"/>
  <c r="C31" i="2"/>
  <c r="E31" i="2"/>
  <c r="D31" i="2"/>
  <c r="G31" i="2"/>
  <c r="H31" i="2"/>
  <c r="B31" i="2"/>
  <c r="A32" i="2"/>
  <c r="B32" i="2"/>
  <c r="D32" i="2"/>
  <c r="G32" i="2"/>
  <c r="C32" i="2"/>
  <c r="E32" i="2"/>
  <c r="H32" i="2"/>
  <c r="A33" i="2"/>
  <c r="B33" i="2"/>
  <c r="C33" i="2"/>
  <c r="E33" i="2"/>
  <c r="D33" i="2"/>
  <c r="G33" i="2"/>
  <c r="H33" i="2"/>
  <c r="A34" i="2"/>
  <c r="C34" i="2"/>
  <c r="E34" i="2"/>
  <c r="D34" i="2"/>
  <c r="G34" i="2"/>
  <c r="H34" i="2"/>
  <c r="B34" i="2"/>
  <c r="A35" i="2"/>
  <c r="C35" i="2"/>
  <c r="D35" i="2"/>
  <c r="E35" i="2"/>
  <c r="G35" i="2"/>
  <c r="H35" i="2"/>
  <c r="B35" i="2"/>
  <c r="A36" i="2"/>
  <c r="B36" i="2"/>
  <c r="D36" i="2"/>
  <c r="G36" i="2"/>
  <c r="C36" i="2"/>
  <c r="E36" i="2"/>
  <c r="H36" i="2"/>
  <c r="C11" i="1"/>
  <c r="C12" i="1"/>
  <c r="C16" i="1" l="1"/>
  <c r="D18" i="1" s="1"/>
  <c r="O32" i="1"/>
  <c r="C15" i="1"/>
  <c r="O42" i="1"/>
  <c r="O22" i="1"/>
  <c r="O30" i="1"/>
  <c r="O23" i="1"/>
  <c r="O36" i="1"/>
  <c r="O27" i="1"/>
  <c r="O40" i="1"/>
  <c r="O46" i="1"/>
  <c r="O45" i="1"/>
  <c r="O39" i="1"/>
  <c r="O24" i="1"/>
  <c r="O21" i="1"/>
  <c r="O28" i="1"/>
  <c r="O37" i="1"/>
  <c r="O47" i="1"/>
  <c r="O38" i="1"/>
  <c r="O43" i="1"/>
  <c r="O33" i="1"/>
  <c r="O31" i="1"/>
  <c r="O26" i="1"/>
  <c r="O34" i="1"/>
  <c r="O44" i="1"/>
  <c r="O35" i="1"/>
  <c r="O25" i="1"/>
  <c r="O41" i="1"/>
  <c r="O29" i="1"/>
  <c r="E16" i="1" l="1"/>
  <c r="E17" i="1" s="1"/>
  <c r="C18" i="1"/>
</calcChain>
</file>

<file path=xl/sharedStrings.xml><?xml version="1.0" encoding="utf-8"?>
<sst xmlns="http://schemas.openxmlformats.org/spreadsheetml/2006/main" count="296" uniqueCount="150">
  <si>
    <t>EY Vul / GSC 02154-01256</t>
  </si>
  <si>
    <t>System Type:</t>
  </si>
  <si>
    <t>EA/SD</t>
  </si>
  <si>
    <t>GCVS 4 Eph.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</si>
  <si>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</si>
  <si>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</si>
  <si>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</si>
  <si>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</si>
  <si>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</si>
  <si>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</si>
  <si>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</si>
  <si>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</si>
  <si>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</si>
  <si>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</si>
  <si>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</si>
  <si>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</si>
  <si>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JD today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</si>
  <si>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</si>
  <si>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</si>
  <si>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</si>
  <si>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</si>
  <si>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</si>
  <si>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</si>
  <si>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</si>
  <si>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</si>
  <si>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</si>
  <si>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</si>
  <si>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</si>
  <si>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</si>
  <si>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</si>
  <si>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</si>
  <si>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GCVS 4</t>
  </si>
  <si>
    <t>S4</t>
  </si>
  <si>
    <t>S5</t>
  </si>
  <si>
    <t>Misc</t>
  </si>
  <si>
    <t>Lin Fit</t>
  </si>
  <si>
    <t>Q. Fit</t>
  </si>
  <si>
    <t>Date</t>
  </si>
  <si>
    <t> MHAR 6.4 </t>
  </si>
  <si>
    <t>I</t>
  </si>
  <si>
    <t>BBSAG Bull.99</t>
  </si>
  <si>
    <t>Vandenbroere J</t>
  </si>
  <si>
    <t>B</t>
  </si>
  <si>
    <t>IBVS 5731</t>
  </si>
  <si>
    <t>BAVM 225 </t>
  </si>
  <si>
    <t>IBVS 6033 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</si>
  <si>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</si>
  <si>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</si>
  <si>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</si>
  <si>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</si>
  <si>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</si>
  <si>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</si>
  <si>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</si>
  <si>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</si>
  <si>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</si>
  <si>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</si>
  <si>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</si>
  <si>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2448482.511 </t>
  </si>
  <si>
    <t> 14.08.1991 00:15 </t>
  </si>
  <si>
    <t> 0.018 </t>
  </si>
  <si>
    <t>V </t>
  </si>
  <si>
    <t> J.Vandenbroere </t>
  </si>
  <si>
    <t> BBS 99 </t>
  </si>
  <si>
    <t>2453619.5669 </t>
  </si>
  <si>
    <t> 06.09.2005 01:36 </t>
  </si>
  <si>
    <t> 0.0527 </t>
  </si>
  <si>
    <t>C </t>
  </si>
  <si>
    <t>-I</t>
  </si>
  <si>
    <t> F.Agerer </t>
  </si>
  <si>
    <t>BAVM 178 </t>
  </si>
  <si>
    <t>2435771.23 </t>
  </si>
  <si>
    <t> 24.10.1956 17:31 </t>
  </si>
  <si>
    <t> -0.01 </t>
  </si>
  <si>
    <t>F </t>
  </si>
  <si>
    <t> G.Romano </t>
  </si>
  <si>
    <t>2436378.517 </t>
  </si>
  <si>
    <t> 24.06.1958 00:24 </t>
  </si>
  <si>
    <t> 0.027 </t>
  </si>
  <si>
    <t>P </t>
  </si>
  <si>
    <t> H.Busch </t>
  </si>
  <si>
    <t>2436452.393 </t>
  </si>
  <si>
    <t> 05.09.1958 21:25 </t>
  </si>
  <si>
    <t> 0.048 </t>
  </si>
  <si>
    <t>2436456.405 </t>
  </si>
  <si>
    <t> 09.09.1958 21:43 </t>
  </si>
  <si>
    <t> -0.043 </t>
  </si>
  <si>
    <t>2436813.437 </t>
  </si>
  <si>
    <t> 01.09.1959 22:29 </t>
  </si>
  <si>
    <t> 0.024 </t>
  </si>
  <si>
    <t>2436817.547 </t>
  </si>
  <si>
    <t> 06.09.1959 01:07 </t>
  </si>
  <si>
    <t> 0.031 </t>
  </si>
  <si>
    <t>2437174.459 </t>
  </si>
  <si>
    <t> 27.08.1960 23:00 </t>
  </si>
  <si>
    <t> -0.023 </t>
  </si>
  <si>
    <t>2437642.257 </t>
  </si>
  <si>
    <t> 08.12.1961 18:10 </t>
  </si>
  <si>
    <t>2438282.361 </t>
  </si>
  <si>
    <t> 09.09.1963 20:39 </t>
  </si>
  <si>
    <t> 0.055 </t>
  </si>
  <si>
    <t>2438286.376 </t>
  </si>
  <si>
    <t> 13.09.1963 21:01 </t>
  </si>
  <si>
    <t> -0.033 </t>
  </si>
  <si>
    <t>2438323.333 </t>
  </si>
  <si>
    <t> 20.10.1963 19:59 </t>
  </si>
  <si>
    <t> -0.003 </t>
  </si>
  <si>
    <t>2438495.596 </t>
  </si>
  <si>
    <t> 10.04.1964 02:18 </t>
  </si>
  <si>
    <t> -0.069 </t>
  </si>
  <si>
    <t>2438528.536 </t>
  </si>
  <si>
    <t> 13.05.1964 00:51 </t>
  </si>
  <si>
    <t> 0.047 </t>
  </si>
  <si>
    <t>2438852.602 </t>
  </si>
  <si>
    <t> 02.04.1965 02:26 </t>
  </si>
  <si>
    <t> -0.028 </t>
  </si>
  <si>
    <t>2439287.482 </t>
  </si>
  <si>
    <t> 10.06.1966 23:34 </t>
  </si>
  <si>
    <t> -0.072 </t>
  </si>
  <si>
    <t>2439681.469 </t>
  </si>
  <si>
    <t> 09.07.1967 23:15 </t>
  </si>
  <si>
    <t> 0.022 </t>
  </si>
  <si>
    <t>2439964.538 </t>
  </si>
  <si>
    <t> 18.04.1968 00:54 </t>
  </si>
  <si>
    <t> -0.019 </t>
  </si>
  <si>
    <t>2440116.390 </t>
  </si>
  <si>
    <t> 16.09.1968 21:21 </t>
  </si>
  <si>
    <t> 0.020 </t>
  </si>
  <si>
    <t>2440153.340 </t>
  </si>
  <si>
    <t> 23.10.1968 20:09 </t>
  </si>
  <si>
    <t> 0.042 </t>
  </si>
  <si>
    <t>2440473.389 </t>
  </si>
  <si>
    <t> 08.09.1969 21:20 </t>
  </si>
  <si>
    <t> 0.053 </t>
  </si>
  <si>
    <t>2441548.423 </t>
  </si>
  <si>
    <t> 18.08.1972 22:09 </t>
  </si>
  <si>
    <t> 0.088 </t>
  </si>
  <si>
    <t>2455802.3963 </t>
  </si>
  <si>
    <t> 28.08.2011 21:30 </t>
  </si>
  <si>
    <t>4882</t>
  </si>
  <si>
    <t> 0.0584 </t>
  </si>
  <si>
    <t>2455802.3972 </t>
  </si>
  <si>
    <t> 28.08.2011 21:31 </t>
  </si>
  <si>
    <t> 0.0593 </t>
  </si>
  <si>
    <t> F.Walter </t>
  </si>
  <si>
    <t>2455839.3213 </t>
  </si>
  <si>
    <t> 04.10.2011 19:42 </t>
  </si>
  <si>
    <t>4891</t>
  </si>
  <si>
    <t> 0.0560 </t>
  </si>
  <si>
    <t> M.Banfi 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</si>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</sst>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4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1" applyNumberFormat="0" applyFill="0" applyProtection="0">
      <alignment vertical="top"/>
    </xf>
  </cellStyleXfs>
  <cellXfs count="55">
    <xf numFmtId="0" fontId="0" fillId="0" borderId="0" xfId="0">
      <alignment vertical="top"/>
    </xf>
    <xf numFmtId="0" fontId="0" fillId="0" borderId="0" xfId="0" applyFill="1" applyAlignment="1"/>
    <xf numFmtId="0" fontId="0" fillId="0" borderId="0" xfId="0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2" fillId="0" borderId="0" xfId="7" applyNumberFormat="1" applyFont="1" applyFill="1" applyBorder="1" applyAlignment="1" applyProtection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2" fillId="2" borderId="12" xfId="7" applyNumberFormat="1" applyFont="1" applyFill="1" applyBorder="1" applyAlignment="1" applyProtection="1">
      <alignment horizontal="right" vertical="top" wrapText="1"/>
    </xf>
    <xf numFmtId="168" fontId="0" fillId="0" borderId="0" xfId="0" applyNumberFormat="1" applyFill="1" applyAlignment="1"/>
    <xf numFmtId="0" fontId="0" fillId="0" borderId="0" xfId="0" applyFill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68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EY Vul - O-C Diagr.</a:t>
            </a:r>
          </a:p>
        </c:rich>
      </c:tx>
      <c:layout>
        <c:manualLayout>
          <c:xMode val="edge"/>
          <c:yMode val="edge"/>
          <c:x val="0.34854771784232363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6779780700001"/>
          <c:y val="0.1490496276656883"/>
          <c:w val="0.7867915051227734"/>
          <c:h val="0.62453759205618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Active!$F$21:$F$470</c:f>
              <c:numCache>
                <c:formatCode>General</c:formatCode>
                <c:ptCount val="450"/>
                <c:pt idx="0">
                  <c:v>0</c:v>
                </c:pt>
                <c:pt idx="1">
                  <c:v>0</c:v>
                </c:pt>
                <c:pt idx="2">
                  <c:v>148</c:v>
                </c:pt>
                <c:pt idx="3">
                  <c:v>166</c:v>
                </c:pt>
                <c:pt idx="4">
                  <c:v>167</c:v>
                </c:pt>
                <c:pt idx="5">
                  <c:v>254</c:v>
                </c:pt>
                <c:pt idx="6">
                  <c:v>255</c:v>
                </c:pt>
                <c:pt idx="7">
                  <c:v>342</c:v>
                </c:pt>
                <c:pt idx="8">
                  <c:v>456</c:v>
                </c:pt>
                <c:pt idx="9">
                  <c:v>612</c:v>
                </c:pt>
                <c:pt idx="10">
                  <c:v>613</c:v>
                </c:pt>
                <c:pt idx="11">
                  <c:v>622</c:v>
                </c:pt>
                <c:pt idx="12">
                  <c:v>664</c:v>
                </c:pt>
                <c:pt idx="13">
                  <c:v>672</c:v>
                </c:pt>
                <c:pt idx="14">
                  <c:v>751</c:v>
                </c:pt>
                <c:pt idx="15">
                  <c:v>857</c:v>
                </c:pt>
                <c:pt idx="16">
                  <c:v>953</c:v>
                </c:pt>
                <c:pt idx="17">
                  <c:v>1022</c:v>
                </c:pt>
                <c:pt idx="18">
                  <c:v>1059</c:v>
                </c:pt>
                <c:pt idx="19">
                  <c:v>1068</c:v>
                </c:pt>
                <c:pt idx="20">
                  <c:v>1146</c:v>
                </c:pt>
                <c:pt idx="21">
                  <c:v>1408</c:v>
                </c:pt>
                <c:pt idx="22">
                  <c:v>3098</c:v>
                </c:pt>
                <c:pt idx="23">
                  <c:v>4350</c:v>
                </c:pt>
                <c:pt idx="24">
                  <c:v>4882</c:v>
                </c:pt>
                <c:pt idx="25">
                  <c:v>4882</c:v>
                </c:pt>
                <c:pt idx="26">
                  <c:v>4891</c:v>
                </c:pt>
              </c:numCache>
            </c:numRef>
          </c:xVal>
          <c:yVal>
            <c:numRef>
              <c:f>Active!$H$21:$H$470</c:f>
              <c:numCache>
                <c:formatCode>General</c:formatCode>
                <c:ptCount val="450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1-4B7D-8929-9F8CA554F1E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Active!$F$21:$F$470</c:f>
              <c:numCache>
                <c:formatCode>General</c:formatCode>
                <c:ptCount val="450"/>
                <c:pt idx="0">
                  <c:v>0</c:v>
                </c:pt>
                <c:pt idx="1">
                  <c:v>0</c:v>
                </c:pt>
                <c:pt idx="2">
                  <c:v>148</c:v>
                </c:pt>
                <c:pt idx="3">
                  <c:v>166</c:v>
                </c:pt>
                <c:pt idx="4">
                  <c:v>167</c:v>
                </c:pt>
                <c:pt idx="5">
                  <c:v>254</c:v>
                </c:pt>
                <c:pt idx="6">
                  <c:v>255</c:v>
                </c:pt>
                <c:pt idx="7">
                  <c:v>342</c:v>
                </c:pt>
                <c:pt idx="8">
                  <c:v>456</c:v>
                </c:pt>
                <c:pt idx="9">
                  <c:v>612</c:v>
                </c:pt>
                <c:pt idx="10">
                  <c:v>613</c:v>
                </c:pt>
                <c:pt idx="11">
                  <c:v>622</c:v>
                </c:pt>
                <c:pt idx="12">
                  <c:v>664</c:v>
                </c:pt>
                <c:pt idx="13">
                  <c:v>672</c:v>
                </c:pt>
                <c:pt idx="14">
                  <c:v>751</c:v>
                </c:pt>
                <c:pt idx="15">
                  <c:v>857</c:v>
                </c:pt>
                <c:pt idx="16">
                  <c:v>953</c:v>
                </c:pt>
                <c:pt idx="17">
                  <c:v>1022</c:v>
                </c:pt>
                <c:pt idx="18">
                  <c:v>1059</c:v>
                </c:pt>
                <c:pt idx="19">
                  <c:v>1068</c:v>
                </c:pt>
                <c:pt idx="20">
                  <c:v>1146</c:v>
                </c:pt>
                <c:pt idx="21">
                  <c:v>1408</c:v>
                </c:pt>
                <c:pt idx="22">
                  <c:v>3098</c:v>
                </c:pt>
                <c:pt idx="23">
                  <c:v>4350</c:v>
                </c:pt>
                <c:pt idx="24">
                  <c:v>4882</c:v>
                </c:pt>
                <c:pt idx="25">
                  <c:v>4882</c:v>
                </c:pt>
                <c:pt idx="26">
                  <c:v>4891</c:v>
                </c:pt>
              </c:numCache>
            </c:numRef>
          </c:xVal>
          <c:yVal>
            <c:numRef>
              <c:f>Active!$I$21:$I$470</c:f>
              <c:numCache>
                <c:formatCode>General</c:formatCode>
                <c:ptCount val="450"/>
                <c:pt idx="0">
                  <c:v>-7.9999999943538569E-3</c:v>
                </c:pt>
                <c:pt idx="2">
                  <c:v>2.7304000002914108E-2</c:v>
                </c:pt>
                <c:pt idx="3">
                  <c:v>4.8367999996116851E-2</c:v>
                </c:pt>
                <c:pt idx="4">
                  <c:v>-4.2684000000008382E-2</c:v>
                </c:pt>
                <c:pt idx="5">
                  <c:v>2.3791999999957625E-2</c:v>
                </c:pt>
                <c:pt idx="6">
                  <c:v>3.0740000001969747E-2</c:v>
                </c:pt>
                <c:pt idx="7">
                  <c:v>-2.2783999993407633E-2</c:v>
                </c:pt>
                <c:pt idx="8">
                  <c:v>2.7287999997497536E-2</c:v>
                </c:pt>
                <c:pt idx="9">
                  <c:v>5.517600000166567E-2</c:v>
                </c:pt>
                <c:pt idx="10">
                  <c:v>-3.2876000004762318E-2</c:v>
                </c:pt>
                <c:pt idx="11">
                  <c:v>-3.3439999970141798E-3</c:v>
                </c:pt>
                <c:pt idx="12">
                  <c:v>-6.8527999996149447E-2</c:v>
                </c:pt>
                <c:pt idx="13">
                  <c:v>4.7056000003067311E-2</c:v>
                </c:pt>
                <c:pt idx="14">
                  <c:v>-2.8052000001480337E-2</c:v>
                </c:pt>
                <c:pt idx="15">
                  <c:v>-7.156399999075802E-2</c:v>
                </c:pt>
                <c:pt idx="16">
                  <c:v>2.2444000001996756E-2</c:v>
                </c:pt>
                <c:pt idx="17">
                  <c:v>-1.9143999998050276E-2</c:v>
                </c:pt>
                <c:pt idx="18">
                  <c:v>1.9932000002881978E-2</c:v>
                </c:pt>
                <c:pt idx="19">
                  <c:v>4.2463999998290092E-2</c:v>
                </c:pt>
                <c:pt idx="20">
                  <c:v>5.3408000007038936E-2</c:v>
                </c:pt>
                <c:pt idx="21">
                  <c:v>8.7784000003011897E-2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81-4B7D-8929-9F8CA554F1E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Active!$F$21:$F$470</c:f>
              <c:numCache>
                <c:formatCode>General</c:formatCode>
                <c:ptCount val="450"/>
                <c:pt idx="0">
                  <c:v>0</c:v>
                </c:pt>
                <c:pt idx="1">
                  <c:v>0</c:v>
                </c:pt>
                <c:pt idx="2">
                  <c:v>148</c:v>
                </c:pt>
                <c:pt idx="3">
                  <c:v>166</c:v>
                </c:pt>
                <c:pt idx="4">
                  <c:v>167</c:v>
                </c:pt>
                <c:pt idx="5">
                  <c:v>254</c:v>
                </c:pt>
                <c:pt idx="6">
                  <c:v>255</c:v>
                </c:pt>
                <c:pt idx="7">
                  <c:v>342</c:v>
                </c:pt>
                <c:pt idx="8">
                  <c:v>456</c:v>
                </c:pt>
                <c:pt idx="9">
                  <c:v>612</c:v>
                </c:pt>
                <c:pt idx="10">
                  <c:v>613</c:v>
                </c:pt>
                <c:pt idx="11">
                  <c:v>622</c:v>
                </c:pt>
                <c:pt idx="12">
                  <c:v>664</c:v>
                </c:pt>
                <c:pt idx="13">
                  <c:v>672</c:v>
                </c:pt>
                <c:pt idx="14">
                  <c:v>751</c:v>
                </c:pt>
                <c:pt idx="15">
                  <c:v>857</c:v>
                </c:pt>
                <c:pt idx="16">
                  <c:v>953</c:v>
                </c:pt>
                <c:pt idx="17">
                  <c:v>1022</c:v>
                </c:pt>
                <c:pt idx="18">
                  <c:v>1059</c:v>
                </c:pt>
                <c:pt idx="19">
                  <c:v>1068</c:v>
                </c:pt>
                <c:pt idx="20">
                  <c:v>1146</c:v>
                </c:pt>
                <c:pt idx="21">
                  <c:v>1408</c:v>
                </c:pt>
                <c:pt idx="22">
                  <c:v>3098</c:v>
                </c:pt>
                <c:pt idx="23">
                  <c:v>4350</c:v>
                </c:pt>
                <c:pt idx="24">
                  <c:v>4882</c:v>
                </c:pt>
                <c:pt idx="25">
                  <c:v>4882</c:v>
                </c:pt>
                <c:pt idx="26">
                  <c:v>4891</c:v>
                </c:pt>
              </c:numCache>
            </c:numRef>
          </c:xVal>
          <c:yVal>
            <c:numRef>
              <c:f>Active!$J$21:$J$470</c:f>
              <c:numCache>
                <c:formatCode>General</c:formatCode>
                <c:ptCount val="450"/>
                <c:pt idx="22">
                  <c:v>1.7904000000271481E-2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81-4B7D-8929-9F8CA554F1E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Active!$F$21:$F$470</c:f>
              <c:numCache>
                <c:formatCode>General</c:formatCode>
                <c:ptCount val="450"/>
                <c:pt idx="0">
                  <c:v>0</c:v>
                </c:pt>
                <c:pt idx="1">
                  <c:v>0</c:v>
                </c:pt>
                <c:pt idx="2">
                  <c:v>148</c:v>
                </c:pt>
                <c:pt idx="3">
                  <c:v>166</c:v>
                </c:pt>
                <c:pt idx="4">
                  <c:v>167</c:v>
                </c:pt>
                <c:pt idx="5">
                  <c:v>254</c:v>
                </c:pt>
                <c:pt idx="6">
                  <c:v>255</c:v>
                </c:pt>
                <c:pt idx="7">
                  <c:v>342</c:v>
                </c:pt>
                <c:pt idx="8">
                  <c:v>456</c:v>
                </c:pt>
                <c:pt idx="9">
                  <c:v>612</c:v>
                </c:pt>
                <c:pt idx="10">
                  <c:v>613</c:v>
                </c:pt>
                <c:pt idx="11">
                  <c:v>622</c:v>
                </c:pt>
                <c:pt idx="12">
                  <c:v>664</c:v>
                </c:pt>
                <c:pt idx="13">
                  <c:v>672</c:v>
                </c:pt>
                <c:pt idx="14">
                  <c:v>751</c:v>
                </c:pt>
                <c:pt idx="15">
                  <c:v>857</c:v>
                </c:pt>
                <c:pt idx="16">
                  <c:v>953</c:v>
                </c:pt>
                <c:pt idx="17">
                  <c:v>1022</c:v>
                </c:pt>
                <c:pt idx="18">
                  <c:v>1059</c:v>
                </c:pt>
                <c:pt idx="19">
                  <c:v>1068</c:v>
                </c:pt>
                <c:pt idx="20">
                  <c:v>1146</c:v>
                </c:pt>
                <c:pt idx="21">
                  <c:v>1408</c:v>
                </c:pt>
                <c:pt idx="22">
                  <c:v>3098</c:v>
                </c:pt>
                <c:pt idx="23">
                  <c:v>4350</c:v>
                </c:pt>
                <c:pt idx="24">
                  <c:v>4882</c:v>
                </c:pt>
                <c:pt idx="25">
                  <c:v>4882</c:v>
                </c:pt>
                <c:pt idx="26">
                  <c:v>4891</c:v>
                </c:pt>
              </c:numCache>
            </c:numRef>
          </c:xVal>
          <c:yVal>
            <c:numRef>
              <c:f>Active!$K$21:$K$470</c:f>
              <c:numCache>
                <c:formatCode>General</c:formatCode>
                <c:ptCount val="450"/>
                <c:pt idx="23">
                  <c:v>5.2700000000186265E-2</c:v>
                </c:pt>
                <c:pt idx="24">
                  <c:v>5.8435999999346677E-2</c:v>
                </c:pt>
                <c:pt idx="25">
                  <c:v>5.9335999998438638E-2</c:v>
                </c:pt>
                <c:pt idx="26">
                  <c:v>5.5968000007851515E-2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81-4B7D-8929-9F8CA554F1E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Active!$F$21:$F$470</c:f>
              <c:numCache>
                <c:formatCode>General</c:formatCode>
                <c:ptCount val="450"/>
                <c:pt idx="0">
                  <c:v>0</c:v>
                </c:pt>
                <c:pt idx="1">
                  <c:v>0</c:v>
                </c:pt>
                <c:pt idx="2">
                  <c:v>148</c:v>
                </c:pt>
                <c:pt idx="3">
                  <c:v>166</c:v>
                </c:pt>
                <c:pt idx="4">
                  <c:v>167</c:v>
                </c:pt>
                <c:pt idx="5">
                  <c:v>254</c:v>
                </c:pt>
                <c:pt idx="6">
                  <c:v>255</c:v>
                </c:pt>
                <c:pt idx="7">
                  <c:v>342</c:v>
                </c:pt>
                <c:pt idx="8">
                  <c:v>456</c:v>
                </c:pt>
                <c:pt idx="9">
                  <c:v>612</c:v>
                </c:pt>
                <c:pt idx="10">
                  <c:v>613</c:v>
                </c:pt>
                <c:pt idx="11">
                  <c:v>622</c:v>
                </c:pt>
                <c:pt idx="12">
                  <c:v>664</c:v>
                </c:pt>
                <c:pt idx="13">
                  <c:v>672</c:v>
                </c:pt>
                <c:pt idx="14">
                  <c:v>751</c:v>
                </c:pt>
                <c:pt idx="15">
                  <c:v>857</c:v>
                </c:pt>
                <c:pt idx="16">
                  <c:v>953</c:v>
                </c:pt>
                <c:pt idx="17">
                  <c:v>1022</c:v>
                </c:pt>
                <c:pt idx="18">
                  <c:v>1059</c:v>
                </c:pt>
                <c:pt idx="19">
                  <c:v>1068</c:v>
                </c:pt>
                <c:pt idx="20">
                  <c:v>1146</c:v>
                </c:pt>
                <c:pt idx="21">
                  <c:v>1408</c:v>
                </c:pt>
                <c:pt idx="22">
                  <c:v>3098</c:v>
                </c:pt>
                <c:pt idx="23">
                  <c:v>4350</c:v>
                </c:pt>
                <c:pt idx="24">
                  <c:v>4882</c:v>
                </c:pt>
                <c:pt idx="25">
                  <c:v>4882</c:v>
                </c:pt>
                <c:pt idx="26">
                  <c:v>4891</c:v>
                </c:pt>
              </c:numCache>
            </c:numRef>
          </c:xVal>
          <c:yVal>
            <c:numRef>
              <c:f>Active!$L$21:$L$470</c:f>
              <c:numCache>
                <c:formatCode>General</c:formatCode>
                <c:ptCount val="4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81-4B7D-8929-9F8CA554F1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Active!$F$21:$F$470</c:f>
              <c:numCache>
                <c:formatCode>General</c:formatCode>
                <c:ptCount val="450"/>
                <c:pt idx="0">
                  <c:v>0</c:v>
                </c:pt>
                <c:pt idx="1">
                  <c:v>0</c:v>
                </c:pt>
                <c:pt idx="2">
                  <c:v>148</c:v>
                </c:pt>
                <c:pt idx="3">
                  <c:v>166</c:v>
                </c:pt>
                <c:pt idx="4">
                  <c:v>167</c:v>
                </c:pt>
                <c:pt idx="5">
                  <c:v>254</c:v>
                </c:pt>
                <c:pt idx="6">
                  <c:v>255</c:v>
                </c:pt>
                <c:pt idx="7">
                  <c:v>342</c:v>
                </c:pt>
                <c:pt idx="8">
                  <c:v>456</c:v>
                </c:pt>
                <c:pt idx="9">
                  <c:v>612</c:v>
                </c:pt>
                <c:pt idx="10">
                  <c:v>613</c:v>
                </c:pt>
                <c:pt idx="11">
                  <c:v>622</c:v>
                </c:pt>
                <c:pt idx="12">
                  <c:v>664</c:v>
                </c:pt>
                <c:pt idx="13">
                  <c:v>672</c:v>
                </c:pt>
                <c:pt idx="14">
                  <c:v>751</c:v>
                </c:pt>
                <c:pt idx="15">
                  <c:v>857</c:v>
                </c:pt>
                <c:pt idx="16">
                  <c:v>953</c:v>
                </c:pt>
                <c:pt idx="17">
                  <c:v>1022</c:v>
                </c:pt>
                <c:pt idx="18">
                  <c:v>1059</c:v>
                </c:pt>
                <c:pt idx="19">
                  <c:v>1068</c:v>
                </c:pt>
                <c:pt idx="20">
                  <c:v>1146</c:v>
                </c:pt>
                <c:pt idx="21">
                  <c:v>1408</c:v>
                </c:pt>
                <c:pt idx="22">
                  <c:v>3098</c:v>
                </c:pt>
                <c:pt idx="23">
                  <c:v>4350</c:v>
                </c:pt>
                <c:pt idx="24">
                  <c:v>4882</c:v>
                </c:pt>
                <c:pt idx="25">
                  <c:v>4882</c:v>
                </c:pt>
                <c:pt idx="26">
                  <c:v>4891</c:v>
                </c:pt>
              </c:numCache>
            </c:numRef>
          </c:xVal>
          <c:yVal>
            <c:numRef>
              <c:f>Active!$M$21:$M$470</c:f>
              <c:numCache>
                <c:formatCode>General</c:formatCode>
                <c:ptCount val="4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81-4B7D-8929-9F8CA554F1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Active!$F$21:$F$470</c:f>
              <c:numCache>
                <c:formatCode>General</c:formatCode>
                <c:ptCount val="450"/>
                <c:pt idx="0">
                  <c:v>0</c:v>
                </c:pt>
                <c:pt idx="1">
                  <c:v>0</c:v>
                </c:pt>
                <c:pt idx="2">
                  <c:v>148</c:v>
                </c:pt>
                <c:pt idx="3">
                  <c:v>166</c:v>
                </c:pt>
                <c:pt idx="4">
                  <c:v>167</c:v>
                </c:pt>
                <c:pt idx="5">
                  <c:v>254</c:v>
                </c:pt>
                <c:pt idx="6">
                  <c:v>255</c:v>
                </c:pt>
                <c:pt idx="7">
                  <c:v>342</c:v>
                </c:pt>
                <c:pt idx="8">
                  <c:v>456</c:v>
                </c:pt>
                <c:pt idx="9">
                  <c:v>612</c:v>
                </c:pt>
                <c:pt idx="10">
                  <c:v>613</c:v>
                </c:pt>
                <c:pt idx="11">
                  <c:v>622</c:v>
                </c:pt>
                <c:pt idx="12">
                  <c:v>664</c:v>
                </c:pt>
                <c:pt idx="13">
                  <c:v>672</c:v>
                </c:pt>
                <c:pt idx="14">
                  <c:v>751</c:v>
                </c:pt>
                <c:pt idx="15">
                  <c:v>857</c:v>
                </c:pt>
                <c:pt idx="16">
                  <c:v>953</c:v>
                </c:pt>
                <c:pt idx="17">
                  <c:v>1022</c:v>
                </c:pt>
                <c:pt idx="18">
                  <c:v>1059</c:v>
                </c:pt>
                <c:pt idx="19">
                  <c:v>1068</c:v>
                </c:pt>
                <c:pt idx="20">
                  <c:v>1146</c:v>
                </c:pt>
                <c:pt idx="21">
                  <c:v>1408</c:v>
                </c:pt>
                <c:pt idx="22">
                  <c:v>3098</c:v>
                </c:pt>
                <c:pt idx="23">
                  <c:v>4350</c:v>
                </c:pt>
                <c:pt idx="24">
                  <c:v>4882</c:v>
                </c:pt>
                <c:pt idx="25">
                  <c:v>4882</c:v>
                </c:pt>
                <c:pt idx="26">
                  <c:v>4891</c:v>
                </c:pt>
              </c:numCache>
            </c:numRef>
          </c:xVal>
          <c:yVal>
            <c:numRef>
              <c:f>Active!$N$21:$N$470</c:f>
              <c:numCache>
                <c:formatCode>General</c:formatCode>
                <c:ptCount val="4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81-4B7D-8929-9F8CA554F1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Active!$F$21:$F$470</c:f>
              <c:numCache>
                <c:formatCode>General</c:formatCode>
                <c:ptCount val="450"/>
                <c:pt idx="0">
                  <c:v>0</c:v>
                </c:pt>
                <c:pt idx="1">
                  <c:v>0</c:v>
                </c:pt>
                <c:pt idx="2">
                  <c:v>148</c:v>
                </c:pt>
                <c:pt idx="3">
                  <c:v>166</c:v>
                </c:pt>
                <c:pt idx="4">
                  <c:v>167</c:v>
                </c:pt>
                <c:pt idx="5">
                  <c:v>254</c:v>
                </c:pt>
                <c:pt idx="6">
                  <c:v>255</c:v>
                </c:pt>
                <c:pt idx="7">
                  <c:v>342</c:v>
                </c:pt>
                <c:pt idx="8">
                  <c:v>456</c:v>
                </c:pt>
                <c:pt idx="9">
                  <c:v>612</c:v>
                </c:pt>
                <c:pt idx="10">
                  <c:v>613</c:v>
                </c:pt>
                <c:pt idx="11">
                  <c:v>622</c:v>
                </c:pt>
                <c:pt idx="12">
                  <c:v>664</c:v>
                </c:pt>
                <c:pt idx="13">
                  <c:v>672</c:v>
                </c:pt>
                <c:pt idx="14">
                  <c:v>751</c:v>
                </c:pt>
                <c:pt idx="15">
                  <c:v>857</c:v>
                </c:pt>
                <c:pt idx="16">
                  <c:v>953</c:v>
                </c:pt>
                <c:pt idx="17">
                  <c:v>1022</c:v>
                </c:pt>
                <c:pt idx="18">
                  <c:v>1059</c:v>
                </c:pt>
                <c:pt idx="19">
                  <c:v>1068</c:v>
                </c:pt>
                <c:pt idx="20">
                  <c:v>1146</c:v>
                </c:pt>
                <c:pt idx="21">
                  <c:v>1408</c:v>
                </c:pt>
                <c:pt idx="22">
                  <c:v>3098</c:v>
                </c:pt>
                <c:pt idx="23">
                  <c:v>4350</c:v>
                </c:pt>
                <c:pt idx="24">
                  <c:v>4882</c:v>
                </c:pt>
                <c:pt idx="25">
                  <c:v>4882</c:v>
                </c:pt>
                <c:pt idx="26">
                  <c:v>4891</c:v>
                </c:pt>
              </c:numCache>
            </c:numRef>
          </c:xVal>
          <c:yVal>
            <c:numRef>
              <c:f>Active!$O$21:$O$470</c:f>
              <c:numCache>
                <c:formatCode>General</c:formatCode>
                <c:ptCount val="450"/>
                <c:pt idx="0">
                  <c:v>8.2539309590238738E-4</c:v>
                </c:pt>
                <c:pt idx="1">
                  <c:v>8.2539309590238738E-4</c:v>
                </c:pt>
                <c:pt idx="2">
                  <c:v>2.5460360636894389E-3</c:v>
                </c:pt>
                <c:pt idx="3">
                  <c:v>2.7553034516635396E-3</c:v>
                </c:pt>
                <c:pt idx="4">
                  <c:v>2.7669294176621007E-3</c:v>
                </c:pt>
                <c:pt idx="5">
                  <c:v>3.7783884595369212E-3</c:v>
                </c:pt>
                <c:pt idx="6">
                  <c:v>3.7900144255354827E-3</c:v>
                </c:pt>
                <c:pt idx="7">
                  <c:v>4.8014734674103028E-3</c:v>
                </c:pt>
                <c:pt idx="8">
                  <c:v>6.126833591246275E-3</c:v>
                </c:pt>
                <c:pt idx="9">
                  <c:v>7.9404842870218154E-3</c:v>
                </c:pt>
                <c:pt idx="10">
                  <c:v>7.9521102530203773E-3</c:v>
                </c:pt>
                <c:pt idx="11">
                  <c:v>8.0567439470074272E-3</c:v>
                </c:pt>
                <c:pt idx="12">
                  <c:v>8.5450345189469964E-3</c:v>
                </c:pt>
                <c:pt idx="13">
                  <c:v>8.6380422469354845E-3</c:v>
                </c:pt>
                <c:pt idx="14">
                  <c:v>9.556493560821817E-3</c:v>
                </c:pt>
                <c:pt idx="15">
                  <c:v>1.0788845956669299E-2</c:v>
                </c:pt>
                <c:pt idx="16">
                  <c:v>1.190493869253117E-2</c:v>
                </c:pt>
                <c:pt idx="17">
                  <c:v>1.2707130346431891E-2</c:v>
                </c:pt>
                <c:pt idx="18">
                  <c:v>1.3137291088378654E-2</c:v>
                </c:pt>
                <c:pt idx="19">
                  <c:v>1.3241924782365704E-2</c:v>
                </c:pt>
                <c:pt idx="20">
                  <c:v>1.4148750130253475E-2</c:v>
                </c:pt>
                <c:pt idx="21">
                  <c:v>1.7194753221876496E-2</c:v>
                </c:pt>
                <c:pt idx="22">
                  <c:v>3.6842635759444853E-2</c:v>
                </c:pt>
                <c:pt idx="23">
                  <c:v>5.1398345189643424E-2</c:v>
                </c:pt>
                <c:pt idx="24">
                  <c:v>5.7583359100877959E-2</c:v>
                </c:pt>
                <c:pt idx="25">
                  <c:v>5.7583359100877959E-2</c:v>
                </c:pt>
                <c:pt idx="26">
                  <c:v>5.7687992794865015E-2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81-4B7D-8929-9F8CA554F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95776"/>
        <c:axId val="1"/>
      </c:scatterChart>
      <c:valAx>
        <c:axId val="746695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7219917012453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6597510373444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695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65975103734441E-2"/>
          <c:y val="0.86163786130507269"/>
          <c:w val="0.60788381742738584"/>
          <c:h val="0.128931147757473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19</xdr:col>
      <xdr:colOff>466725</xdr:colOff>
      <xdr:row>18</xdr:row>
      <xdr:rowOff>104774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BD80449-8298-70DD-5D84-E0DF57FAF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6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5" customWidth="1"/>
    <col min="6" max="6" width="9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s="24" customFormat="1" ht="20.25" x14ac:dyDescent="0.2">
      <c r="A1" s="54" t="s">
        <v>0</v>
      </c>
      <c r="E1" s="26"/>
      <c r="F1" s="26"/>
    </row>
    <row r="2" spans="1:7" s="24" customFormat="1" ht="12.75" customHeight="1" x14ac:dyDescent="0.2">
      <c r="A2" s="24" t="s">
        <v>1</v>
      </c>
      <c r="B2" s="25" t="s">
        <v>2</v>
      </c>
      <c r="E2" s="26"/>
      <c r="F2" s="26"/>
    </row>
    <row r="3" spans="1:7" s="24" customFormat="1" ht="12.75" customHeight="1" x14ac:dyDescent="0.2">
      <c r="E3" s="26"/>
      <c r="F3" s="26"/>
    </row>
    <row r="4" spans="1:7" s="24" customFormat="1" ht="12.75" customHeight="1" x14ac:dyDescent="0.2">
      <c r="A4" s="27" t="s">
        <v>3</v>
      </c>
      <c r="C4" s="28">
        <v>35771.237999999998</v>
      </c>
      <c r="D4" s="29">
        <v>4.1030519999999999</v>
      </c>
      <c r="E4" s="26"/>
      <c r="F4" s="26"/>
    </row>
    <row r="5" spans="1:7" s="24" customFormat="1" ht="12.75" customHeight="1" x14ac:dyDescent="0.2">
      <c r="F5" s="26"/>
    </row>
    <row r="6" spans="1:7" s="24" customFormat="1" ht="12.75" customHeight="1" x14ac:dyDescent="0.2">
      <c r="A6" s="27" t="s">
        <v>4</v>
      </c>
      <c r="E6" s="26"/>
      <c r="F6" s="26"/>
    </row>
    <row r="7" spans="1:7" s="24" customFormat="1" ht="12.75" customHeight="1" x14ac:dyDescent="0.2">
      <c r="A7" s="24" t="s">
        <v>5</v>
      </c>
      <c r="C7" s="24">
        <f>+C4</f>
        <v>35771.237999999998</v>
      </c>
      <c r="E7" s="26"/>
      <c r="F7" s="26"/>
    </row>
    <row r="8" spans="1:7" s="24" customFormat="1" ht="12.75" customHeight="1" x14ac:dyDescent="0.2">
      <c r="A8" s="24" t="s">
        <v>6</v>
      </c>
      <c r="C8" s="24">
        <f>+D4</f>
        <v>4.1030519999999999</v>
      </c>
      <c r="E8" s="26"/>
      <c r="F8" s="26"/>
    </row>
    <row r="9" spans="1:7" s="24" customFormat="1" ht="12.75" customHeight="1" x14ac:dyDescent="0.2">
      <c r="A9" s="30" t="s">
        <v>7</v>
      </c>
      <c r="B9" s="26"/>
      <c r="C9" s="31">
        <v>-9.5</v>
      </c>
      <c r="D9" s="26" t="s">
        <v>8</v>
      </c>
      <c r="E9" s="26"/>
      <c r="F9" s="26"/>
    </row>
    <row r="10" spans="1:7" s="24" customFormat="1" ht="12.75" customHeight="1" x14ac:dyDescent="0.2">
      <c r="A10" s="26"/>
      <c r="B10" s="26"/>
      <c r="C10" s="32" t="s">
        <v>9</v>
      </c>
      <c r="D10" s="32" t="s">
        <v>10</v>
      </c>
      <c r="E10" s="26"/>
      <c r="F10" s="26"/>
    </row>
    <row r="11" spans="1:7" s="24" customFormat="1" ht="12.75" customHeight="1" x14ac:dyDescent="0.2">
      <c r="A11" s="26" t="s">
        <v>11</v>
      </c>
      <c r="B11" s="26"/>
      <c r="C11" s="33">
        <f ca="1">INTERCEPT(INDIRECT($G$11):G992,INDIRECT($F$11):F992)</f>
        <v>8.2539309590238738E-4</v>
      </c>
      <c r="D11" s="34"/>
      <c r="E11" s="26"/>
      <c r="F11" s="35" t="str">
        <f>"F"&amp;E19</f>
        <v>F21</v>
      </c>
      <c r="G11" s="36" t="str">
        <f>"G"&amp;E19</f>
        <v>G21</v>
      </c>
    </row>
    <row r="12" spans="1:7" s="24" customFormat="1" ht="12.75" customHeight="1" x14ac:dyDescent="0.2">
      <c r="A12" s="26" t="s">
        <v>12</v>
      </c>
      <c r="B12" s="26"/>
      <c r="C12" s="33">
        <f ca="1">SLOPE(INDIRECT($G$11):G992,INDIRECT($F$11):F992)</f>
        <v>1.1625965998561157E-5</v>
      </c>
      <c r="D12" s="34"/>
      <c r="E12" s="26"/>
      <c r="F12" s="26"/>
    </row>
    <row r="13" spans="1:7" s="24" customFormat="1" ht="12.75" customHeight="1" x14ac:dyDescent="0.2">
      <c r="A13" s="26" t="s">
        <v>13</v>
      </c>
      <c r="B13" s="26"/>
      <c r="C13" s="34" t="s">
        <v>14</v>
      </c>
      <c r="D13" s="34"/>
      <c r="E13" s="26"/>
      <c r="F13" s="26"/>
    </row>
    <row r="14" spans="1:7" s="24" customFormat="1" ht="12.75" customHeight="1" x14ac:dyDescent="0.2">
      <c r="A14" s="26"/>
      <c r="B14" s="26"/>
      <c r="C14" s="26"/>
      <c r="D14" s="26"/>
      <c r="E14" s="26"/>
      <c r="F14" s="26"/>
    </row>
    <row r="15" spans="1:7" s="24" customFormat="1" ht="12.75" customHeight="1" x14ac:dyDescent="0.2">
      <c r="A15" s="37" t="s">
        <v>15</v>
      </c>
      <c r="B15" s="26"/>
      <c r="C15" s="38">
        <f ca="1">(C7+C11)+(C8+C12)*INT(MAX(F21:F3533))</f>
        <v>55839.323019992793</v>
      </c>
      <c r="D15" s="39" t="s">
        <v>16</v>
      </c>
      <c r="E15" s="33">
        <f ca="1">TODAY()+15018.5-B9/24</f>
        <v>60379.5</v>
      </c>
      <c r="F15" s="26"/>
    </row>
    <row r="16" spans="1:7" s="24" customFormat="1" ht="12.75" customHeight="1" x14ac:dyDescent="0.2">
      <c r="A16" s="37" t="s">
        <v>17</v>
      </c>
      <c r="B16" s="26"/>
      <c r="C16" s="38">
        <f ca="1">+C8+C12</f>
        <v>4.1030636259659987</v>
      </c>
      <c r="D16" s="39" t="s">
        <v>18</v>
      </c>
      <c r="E16" s="33">
        <f ca="1">ROUND(2*(E15-C15)/C16,0)/2+1</f>
        <v>1107.5</v>
      </c>
      <c r="F16" s="26"/>
    </row>
    <row r="17" spans="1:17" s="24" customFormat="1" ht="12.75" customHeight="1" x14ac:dyDescent="0.2">
      <c r="A17" s="39" t="s">
        <v>19</v>
      </c>
      <c r="B17" s="26"/>
      <c r="C17" s="26">
        <f>COUNT(C21:C2191)</f>
        <v>27</v>
      </c>
      <c r="D17" s="39" t="s">
        <v>20</v>
      </c>
      <c r="E17" s="40">
        <f ca="1">+C15+C16*E16-15018.5-C9/24</f>
        <v>45365.361819083475</v>
      </c>
      <c r="F17" s="26"/>
    </row>
    <row r="18" spans="1:17" s="24" customFormat="1" ht="12.75" customHeight="1" x14ac:dyDescent="0.2">
      <c r="A18" s="37" t="s">
        <v>21</v>
      </c>
      <c r="B18" s="26"/>
      <c r="C18" s="41">
        <f ca="1">+C15</f>
        <v>55839.323019992793</v>
      </c>
      <c r="D18" s="42">
        <f ca="1">+C16</f>
        <v>4.1030636259659987</v>
      </c>
      <c r="E18" s="43" t="s">
        <v>22</v>
      </c>
      <c r="F18" s="26"/>
    </row>
    <row r="19" spans="1:17" s="24" customFormat="1" ht="12.75" customHeight="1" x14ac:dyDescent="0.2">
      <c r="A19" s="44" t="s">
        <v>23</v>
      </c>
      <c r="E19" s="45">
        <v>21</v>
      </c>
      <c r="F19" s="26"/>
    </row>
    <row r="20" spans="1:17" s="24" customFormat="1" ht="12.75" customHeight="1" x14ac:dyDescent="0.2">
      <c r="A20" s="46" t="s">
        <v>24</v>
      </c>
      <c r="B20" s="46" t="s">
        <v>25</v>
      </c>
      <c r="C20" s="46" t="s">
        <v>26</v>
      </c>
      <c r="D20" s="46" t="s">
        <v>27</v>
      </c>
      <c r="E20" s="46" t="s">
        <v>28</v>
      </c>
      <c r="F20" s="46" t="s">
        <v>29</v>
      </c>
      <c r="G20" s="46" t="s">
        <v>30</v>
      </c>
      <c r="H20" s="47" t="s">
        <v>31</v>
      </c>
      <c r="I20" s="47" t="s">
        <v>56</v>
      </c>
      <c r="J20" s="47" t="s">
        <v>149</v>
      </c>
      <c r="K20" s="47" t="s">
        <v>48</v>
      </c>
      <c r="L20" s="47" t="s">
        <v>32</v>
      </c>
      <c r="M20" s="47" t="s">
        <v>33</v>
      </c>
      <c r="N20" s="47" t="s">
        <v>34</v>
      </c>
      <c r="O20" s="47" t="s">
        <v>35</v>
      </c>
      <c r="P20" s="47" t="s">
        <v>36</v>
      </c>
      <c r="Q20" s="46" t="s">
        <v>37</v>
      </c>
    </row>
    <row r="21" spans="1:17" s="24" customFormat="1" ht="12.75" customHeight="1" x14ac:dyDescent="0.2">
      <c r="A21" s="48" t="s">
        <v>38</v>
      </c>
      <c r="B21" s="49" t="s">
        <v>39</v>
      </c>
      <c r="C21" s="50">
        <v>35771.230000000003</v>
      </c>
      <c r="D21" s="51"/>
      <c r="E21" s="24">
        <f t="shared" ref="E21:E47" si="0">+(C21-C$7)/C$8</f>
        <v>-1.9497681224497903E-3</v>
      </c>
      <c r="F21" s="24">
        <f t="shared" ref="F21:F47" si="1">ROUND(2*E21,0)/2</f>
        <v>0</v>
      </c>
      <c r="G21" s="24">
        <f t="shared" ref="G21:G47" si="2">+C21-(C$7+F21*C$8)</f>
        <v>-7.9999999943538569E-3</v>
      </c>
      <c r="I21" s="24">
        <f>+G21</f>
        <v>-7.9999999943538569E-3</v>
      </c>
      <c r="O21" s="24">
        <f t="shared" ref="O21:O47" ca="1" si="3">+C$11+C$12*$F21</f>
        <v>8.2539309590238738E-4</v>
      </c>
      <c r="Q21" s="52">
        <f t="shared" ref="Q21:Q47" si="4">+C21-15018.5</f>
        <v>20752.730000000003</v>
      </c>
    </row>
    <row r="22" spans="1:17" s="24" customFormat="1" ht="12.75" customHeight="1" x14ac:dyDescent="0.2">
      <c r="A22" s="24" t="s">
        <v>31</v>
      </c>
      <c r="C22" s="51">
        <v>35771.237999999998</v>
      </c>
      <c r="D22" s="51" t="s">
        <v>14</v>
      </c>
      <c r="E22" s="24">
        <f t="shared" si="0"/>
        <v>0</v>
      </c>
      <c r="F22" s="24">
        <f t="shared" si="1"/>
        <v>0</v>
      </c>
      <c r="G22" s="24">
        <f t="shared" si="2"/>
        <v>0</v>
      </c>
      <c r="H22" s="24">
        <f>+G22</f>
        <v>0</v>
      </c>
      <c r="O22" s="24">
        <f t="shared" ca="1" si="3"/>
        <v>8.2539309590238738E-4</v>
      </c>
      <c r="Q22" s="52">
        <f t="shared" si="4"/>
        <v>20752.737999999998</v>
      </c>
    </row>
    <row r="23" spans="1:17" s="24" customFormat="1" ht="12.75" customHeight="1" x14ac:dyDescent="0.2">
      <c r="A23" s="48" t="s">
        <v>38</v>
      </c>
      <c r="B23" s="49" t="s">
        <v>39</v>
      </c>
      <c r="C23" s="50">
        <v>36378.517</v>
      </c>
      <c r="D23" s="51"/>
      <c r="E23" s="24">
        <f t="shared" si="0"/>
        <v>148.00665455860718</v>
      </c>
      <c r="F23" s="24">
        <f t="shared" si="1"/>
        <v>148</v>
      </c>
      <c r="G23" s="24">
        <f t="shared" si="2"/>
        <v>2.7304000002914108E-2</v>
      </c>
      <c r="I23" s="24">
        <f>+G23</f>
        <v>2.7304000002914108E-2</v>
      </c>
      <c r="O23" s="24">
        <f t="shared" ca="1" si="3"/>
        <v>2.5460360636894389E-3</v>
      </c>
      <c r="Q23" s="52">
        <f t="shared" si="4"/>
        <v>21360.017</v>
      </c>
    </row>
    <row r="24" spans="1:17" s="24" customFormat="1" ht="12.75" customHeight="1" x14ac:dyDescent="0.2">
      <c r="A24" s="48" t="s">
        <v>38</v>
      </c>
      <c r="B24" s="49" t="s">
        <v>39</v>
      </c>
      <c r="C24" s="50">
        <v>36452.392999999996</v>
      </c>
      <c r="D24" s="51"/>
      <c r="E24" s="24">
        <f t="shared" si="0"/>
        <v>166.01178829807637</v>
      </c>
      <c r="F24" s="24">
        <f t="shared" si="1"/>
        <v>166</v>
      </c>
      <c r="G24" s="24">
        <f t="shared" si="2"/>
        <v>4.8367999996116851E-2</v>
      </c>
      <c r="I24" s="24">
        <f>+G24</f>
        <v>4.8367999996116851E-2</v>
      </c>
      <c r="O24" s="24">
        <f t="shared" ca="1" si="3"/>
        <v>2.7553034516635396E-3</v>
      </c>
      <c r="Q24" s="52">
        <f t="shared" si="4"/>
        <v>21433.892999999996</v>
      </c>
    </row>
    <row r="25" spans="1:17" s="24" customFormat="1" ht="12.75" customHeight="1" x14ac:dyDescent="0.2">
      <c r="A25" s="48" t="s">
        <v>38</v>
      </c>
      <c r="B25" s="49" t="s">
        <v>39</v>
      </c>
      <c r="C25" s="50">
        <v>36456.404999999999</v>
      </c>
      <c r="D25" s="53"/>
      <c r="E25" s="24">
        <f t="shared" si="0"/>
        <v>166.98959701217564</v>
      </c>
      <c r="F25" s="24">
        <f t="shared" si="1"/>
        <v>167</v>
      </c>
      <c r="G25" s="24">
        <f t="shared" si="2"/>
        <v>-4.2684000000008382E-2</v>
      </c>
      <c r="I25" s="24">
        <f>+G25</f>
        <v>-4.2684000000008382E-2</v>
      </c>
      <c r="O25" s="24">
        <f t="shared" ca="1" si="3"/>
        <v>2.7669294176621007E-3</v>
      </c>
      <c r="Q25" s="52">
        <f t="shared" si="4"/>
        <v>21437.904999999999</v>
      </c>
    </row>
    <row r="26" spans="1:17" s="24" customFormat="1" ht="12.75" customHeight="1" x14ac:dyDescent="0.2">
      <c r="A26" s="48" t="s">
        <v>38</v>
      </c>
      <c r="B26" s="49" t="s">
        <v>39</v>
      </c>
      <c r="C26" s="50">
        <v>36813.436999999998</v>
      </c>
      <c r="D26" s="53"/>
      <c r="E26" s="24">
        <f t="shared" si="0"/>
        <v>254.0057986104004</v>
      </c>
      <c r="F26" s="24">
        <f t="shared" si="1"/>
        <v>254</v>
      </c>
      <c r="G26" s="24">
        <f t="shared" si="2"/>
        <v>2.3791999999957625E-2</v>
      </c>
      <c r="I26" s="24">
        <f>+G26</f>
        <v>2.3791999999957625E-2</v>
      </c>
      <c r="O26" s="24">
        <f t="shared" ca="1" si="3"/>
        <v>3.7783884595369212E-3</v>
      </c>
      <c r="Q26" s="52">
        <f t="shared" si="4"/>
        <v>21794.936999999998</v>
      </c>
    </row>
    <row r="27" spans="1:17" s="24" customFormat="1" ht="12.75" customHeight="1" x14ac:dyDescent="0.2">
      <c r="A27" s="48" t="s">
        <v>38</v>
      </c>
      <c r="B27" s="49" t="s">
        <v>39</v>
      </c>
      <c r="C27" s="50">
        <v>36817.546999999999</v>
      </c>
      <c r="D27" s="53"/>
      <c r="E27" s="24">
        <f t="shared" si="0"/>
        <v>255.00749198401607</v>
      </c>
      <c r="F27" s="24">
        <f t="shared" si="1"/>
        <v>255</v>
      </c>
      <c r="G27" s="24">
        <f t="shared" si="2"/>
        <v>3.0740000001969747E-2</v>
      </c>
      <c r="I27" s="24">
        <f>+G27</f>
        <v>3.0740000001969747E-2</v>
      </c>
      <c r="O27" s="24">
        <f t="shared" ca="1" si="3"/>
        <v>3.7900144255354827E-3</v>
      </c>
      <c r="Q27" s="52">
        <f t="shared" si="4"/>
        <v>21799.046999999999</v>
      </c>
    </row>
    <row r="28" spans="1:17" s="24" customFormat="1" ht="12.75" customHeight="1" x14ac:dyDescent="0.2">
      <c r="A28" s="48" t="s">
        <v>38</v>
      </c>
      <c r="B28" s="49" t="s">
        <v>39</v>
      </c>
      <c r="C28" s="50">
        <v>37174.459000000003</v>
      </c>
      <c r="D28" s="53"/>
      <c r="E28" s="24">
        <f t="shared" si="0"/>
        <v>341.99444706038457</v>
      </c>
      <c r="F28" s="24">
        <f t="shared" si="1"/>
        <v>342</v>
      </c>
      <c r="G28" s="24">
        <f t="shared" si="2"/>
        <v>-2.2783999993407633E-2</v>
      </c>
      <c r="I28" s="24">
        <f>+G28</f>
        <v>-2.2783999993407633E-2</v>
      </c>
      <c r="O28" s="24">
        <f t="shared" ca="1" si="3"/>
        <v>4.8014734674103028E-3</v>
      </c>
      <c r="Q28" s="52">
        <f t="shared" si="4"/>
        <v>22155.959000000003</v>
      </c>
    </row>
    <row r="29" spans="1:17" x14ac:dyDescent="0.2">
      <c r="A29" s="3" t="s">
        <v>38</v>
      </c>
      <c r="B29" s="4" t="s">
        <v>39</v>
      </c>
      <c r="C29" s="5">
        <v>37642.256999999998</v>
      </c>
      <c r="D29" s="7"/>
      <c r="E29" s="1">
        <f t="shared" si="0"/>
        <v>456.00665065907043</v>
      </c>
      <c r="F29" s="1">
        <f t="shared" si="1"/>
        <v>456</v>
      </c>
      <c r="G29" s="1">
        <f t="shared" si="2"/>
        <v>2.7287999997497536E-2</v>
      </c>
      <c r="I29" s="1">
        <f>+G29</f>
        <v>2.7287999997497536E-2</v>
      </c>
      <c r="O29" s="1">
        <f t="shared" ca="1" si="3"/>
        <v>6.126833591246275E-3</v>
      </c>
      <c r="Q29" s="23">
        <f t="shared" si="4"/>
        <v>22623.756999999998</v>
      </c>
    </row>
    <row r="30" spans="1:17" x14ac:dyDescent="0.2">
      <c r="A30" s="3" t="s">
        <v>38</v>
      </c>
      <c r="B30" s="4" t="s">
        <v>39</v>
      </c>
      <c r="C30" s="5">
        <v>38282.360999999997</v>
      </c>
      <c r="D30" s="7"/>
      <c r="E30" s="1">
        <f t="shared" si="0"/>
        <v>612.0134475507499</v>
      </c>
      <c r="F30" s="1">
        <f t="shared" si="1"/>
        <v>612</v>
      </c>
      <c r="G30" s="1">
        <f t="shared" si="2"/>
        <v>5.517600000166567E-2</v>
      </c>
      <c r="I30" s="1">
        <f>+G30</f>
        <v>5.517600000166567E-2</v>
      </c>
      <c r="O30" s="1">
        <f t="shared" ca="1" si="3"/>
        <v>7.9404842870218154E-3</v>
      </c>
      <c r="Q30" s="23">
        <f t="shared" si="4"/>
        <v>23263.860999999997</v>
      </c>
    </row>
    <row r="31" spans="1:17" x14ac:dyDescent="0.2">
      <c r="A31" s="3" t="s">
        <v>38</v>
      </c>
      <c r="B31" s="4" t="s">
        <v>39</v>
      </c>
      <c r="C31" s="5">
        <v>38286.375999999997</v>
      </c>
      <c r="D31" s="7"/>
      <c r="E31" s="1">
        <f t="shared" si="0"/>
        <v>612.99198742789486</v>
      </c>
      <c r="F31" s="1">
        <f t="shared" si="1"/>
        <v>613</v>
      </c>
      <c r="G31" s="1">
        <f t="shared" si="2"/>
        <v>-3.2876000004762318E-2</v>
      </c>
      <c r="I31" s="1">
        <f>+G31</f>
        <v>-3.2876000004762318E-2</v>
      </c>
      <c r="O31" s="1">
        <f t="shared" ca="1" si="3"/>
        <v>7.9521102530203773E-3</v>
      </c>
      <c r="Q31" s="23">
        <f t="shared" si="4"/>
        <v>23267.875999999997</v>
      </c>
    </row>
    <row r="32" spans="1:17" x14ac:dyDescent="0.2">
      <c r="A32" s="3" t="s">
        <v>38</v>
      </c>
      <c r="B32" s="4" t="s">
        <v>39</v>
      </c>
      <c r="C32" s="5">
        <v>38323.332999999999</v>
      </c>
      <c r="D32" s="7"/>
      <c r="E32" s="1">
        <f t="shared" si="0"/>
        <v>621.99918499692455</v>
      </c>
      <c r="F32" s="1">
        <f t="shared" si="1"/>
        <v>622</v>
      </c>
      <c r="G32" s="1">
        <f t="shared" si="2"/>
        <v>-3.3439999970141798E-3</v>
      </c>
      <c r="I32" s="1">
        <f>+G32</f>
        <v>-3.3439999970141798E-3</v>
      </c>
      <c r="O32" s="1">
        <f t="shared" ca="1" si="3"/>
        <v>8.0567439470074272E-3</v>
      </c>
      <c r="Q32" s="23">
        <f t="shared" si="4"/>
        <v>23304.832999999999</v>
      </c>
    </row>
    <row r="33" spans="1:32" x14ac:dyDescent="0.2">
      <c r="A33" s="3" t="s">
        <v>38</v>
      </c>
      <c r="B33" s="4" t="s">
        <v>39</v>
      </c>
      <c r="C33" s="5">
        <v>38495.595999999998</v>
      </c>
      <c r="D33" s="7"/>
      <c r="E33" s="1">
        <f t="shared" si="0"/>
        <v>663.9832982862514</v>
      </c>
      <c r="F33" s="1">
        <f t="shared" si="1"/>
        <v>664</v>
      </c>
      <c r="G33" s="1">
        <f t="shared" si="2"/>
        <v>-6.8527999996149447E-2</v>
      </c>
      <c r="I33" s="1">
        <f>+G33</f>
        <v>-6.8527999996149447E-2</v>
      </c>
      <c r="O33" s="1">
        <f t="shared" ca="1" si="3"/>
        <v>8.5450345189469964E-3</v>
      </c>
      <c r="Q33" s="23">
        <f t="shared" si="4"/>
        <v>23477.095999999998</v>
      </c>
    </row>
    <row r="34" spans="1:32" x14ac:dyDescent="0.2">
      <c r="A34" s="3" t="s">
        <v>38</v>
      </c>
      <c r="B34" s="4" t="s">
        <v>39</v>
      </c>
      <c r="C34" s="5">
        <v>38528.536</v>
      </c>
      <c r="D34" s="7"/>
      <c r="E34" s="1">
        <f t="shared" si="0"/>
        <v>672.01146853610499</v>
      </c>
      <c r="F34" s="1">
        <f t="shared" si="1"/>
        <v>672</v>
      </c>
      <c r="G34" s="1">
        <f t="shared" si="2"/>
        <v>4.7056000003067311E-2</v>
      </c>
      <c r="I34" s="1">
        <f>+G34</f>
        <v>4.7056000003067311E-2</v>
      </c>
      <c r="O34" s="1">
        <f t="shared" ca="1" si="3"/>
        <v>8.6380422469354845E-3</v>
      </c>
      <c r="Q34" s="23">
        <f t="shared" si="4"/>
        <v>23510.036</v>
      </c>
    </row>
    <row r="35" spans="1:32" x14ac:dyDescent="0.2">
      <c r="A35" s="3" t="s">
        <v>38</v>
      </c>
      <c r="B35" s="4" t="s">
        <v>39</v>
      </c>
      <c r="C35" s="5">
        <v>38852.601999999999</v>
      </c>
      <c r="D35" s="7"/>
      <c r="E35" s="1">
        <f t="shared" si="0"/>
        <v>750.99316313807412</v>
      </c>
      <c r="F35" s="1">
        <f t="shared" si="1"/>
        <v>751</v>
      </c>
      <c r="G35" s="1">
        <f t="shared" si="2"/>
        <v>-2.8052000001480337E-2</v>
      </c>
      <c r="I35" s="1">
        <f>+G35</f>
        <v>-2.8052000001480337E-2</v>
      </c>
      <c r="O35" s="1">
        <f t="shared" ca="1" si="3"/>
        <v>9.556493560821817E-3</v>
      </c>
      <c r="Q35" s="23">
        <f t="shared" si="4"/>
        <v>23834.101999999999</v>
      </c>
    </row>
    <row r="36" spans="1:32" x14ac:dyDescent="0.2">
      <c r="A36" s="3" t="s">
        <v>38</v>
      </c>
      <c r="B36" s="4" t="s">
        <v>39</v>
      </c>
      <c r="C36" s="5">
        <v>39287.482000000004</v>
      </c>
      <c r="D36" s="7"/>
      <c r="E36" s="1">
        <f t="shared" si="0"/>
        <v>856.98255834924976</v>
      </c>
      <c r="F36" s="1">
        <f t="shared" si="1"/>
        <v>857</v>
      </c>
      <c r="G36" s="1">
        <f t="shared" si="2"/>
        <v>-7.156399999075802E-2</v>
      </c>
      <c r="I36" s="1">
        <f>+G36</f>
        <v>-7.156399999075802E-2</v>
      </c>
      <c r="O36" s="1">
        <f t="shared" ca="1" si="3"/>
        <v>1.0788845956669299E-2</v>
      </c>
      <c r="Q36" s="23">
        <f t="shared" si="4"/>
        <v>24268.982000000004</v>
      </c>
    </row>
    <row r="37" spans="1:32" x14ac:dyDescent="0.2">
      <c r="A37" s="3" t="s">
        <v>38</v>
      </c>
      <c r="B37" s="4" t="s">
        <v>39</v>
      </c>
      <c r="C37" s="5">
        <v>39681.468999999997</v>
      </c>
      <c r="D37" s="7"/>
      <c r="E37" s="1">
        <f t="shared" si="0"/>
        <v>953.0054700744713</v>
      </c>
      <c r="F37" s="1">
        <f t="shared" si="1"/>
        <v>953</v>
      </c>
      <c r="G37" s="1">
        <f t="shared" si="2"/>
        <v>2.2444000001996756E-2</v>
      </c>
      <c r="I37" s="1">
        <f>+G37</f>
        <v>2.2444000001996756E-2</v>
      </c>
      <c r="O37" s="1">
        <f t="shared" ca="1" si="3"/>
        <v>1.190493869253117E-2</v>
      </c>
      <c r="Q37" s="23">
        <f t="shared" si="4"/>
        <v>24662.968999999997</v>
      </c>
    </row>
    <row r="38" spans="1:32" x14ac:dyDescent="0.2">
      <c r="A38" s="3" t="s">
        <v>38</v>
      </c>
      <c r="B38" s="4" t="s">
        <v>39</v>
      </c>
      <c r="C38" s="5">
        <v>39964.538</v>
      </c>
      <c r="D38" s="7"/>
      <c r="E38" s="1">
        <f t="shared" si="0"/>
        <v>1021.9953342048805</v>
      </c>
      <c r="F38" s="1">
        <f t="shared" si="1"/>
        <v>1022</v>
      </c>
      <c r="G38" s="1">
        <f t="shared" si="2"/>
        <v>-1.9143999998050276E-2</v>
      </c>
      <c r="I38" s="1">
        <f>+G38</f>
        <v>-1.9143999998050276E-2</v>
      </c>
      <c r="O38" s="1">
        <f t="shared" ca="1" si="3"/>
        <v>1.2707130346431891E-2</v>
      </c>
      <c r="Q38" s="23">
        <f t="shared" si="4"/>
        <v>24946.038</v>
      </c>
    </row>
    <row r="39" spans="1:32" x14ac:dyDescent="0.2">
      <c r="A39" s="3" t="s">
        <v>38</v>
      </c>
      <c r="B39" s="4" t="s">
        <v>39</v>
      </c>
      <c r="C39" s="5">
        <v>40116.39</v>
      </c>
      <c r="D39" s="7"/>
      <c r="E39" s="1">
        <f t="shared" si="0"/>
        <v>1059.0048578472811</v>
      </c>
      <c r="F39" s="1">
        <f t="shared" si="1"/>
        <v>1059</v>
      </c>
      <c r="G39" s="1">
        <f t="shared" si="2"/>
        <v>1.9932000002881978E-2</v>
      </c>
      <c r="I39" s="1">
        <f>+G39</f>
        <v>1.9932000002881978E-2</v>
      </c>
      <c r="O39" s="1">
        <f t="shared" ca="1" si="3"/>
        <v>1.3137291088378654E-2</v>
      </c>
      <c r="Q39" s="23">
        <f t="shared" si="4"/>
        <v>25097.89</v>
      </c>
    </row>
    <row r="40" spans="1:32" x14ac:dyDescent="0.2">
      <c r="A40" s="3" t="s">
        <v>38</v>
      </c>
      <c r="B40" s="4" t="s">
        <v>39</v>
      </c>
      <c r="C40" s="5">
        <v>40153.339999999997</v>
      </c>
      <c r="D40" s="7"/>
      <c r="E40" s="1">
        <f t="shared" si="0"/>
        <v>1068.0103493692011</v>
      </c>
      <c r="F40" s="1">
        <f t="shared" si="1"/>
        <v>1068</v>
      </c>
      <c r="G40" s="1">
        <f t="shared" si="2"/>
        <v>4.2463999998290092E-2</v>
      </c>
      <c r="I40" s="1">
        <f>+G40</f>
        <v>4.2463999998290092E-2</v>
      </c>
      <c r="O40" s="1">
        <f t="shared" ca="1" si="3"/>
        <v>1.3241924782365704E-2</v>
      </c>
      <c r="Q40" s="23">
        <f t="shared" si="4"/>
        <v>25134.839999999997</v>
      </c>
    </row>
    <row r="41" spans="1:32" x14ac:dyDescent="0.2">
      <c r="A41" s="3" t="s">
        <v>38</v>
      </c>
      <c r="B41" s="4" t="s">
        <v>39</v>
      </c>
      <c r="C41" s="5">
        <v>40473.389000000003</v>
      </c>
      <c r="D41" s="7"/>
      <c r="E41" s="1">
        <f t="shared" si="0"/>
        <v>1146.0130166519959</v>
      </c>
      <c r="F41" s="1">
        <f t="shared" si="1"/>
        <v>1146</v>
      </c>
      <c r="G41" s="1">
        <f t="shared" si="2"/>
        <v>5.3408000007038936E-2</v>
      </c>
      <c r="I41" s="1">
        <f>+G41</f>
        <v>5.3408000007038936E-2</v>
      </c>
      <c r="O41" s="1">
        <f t="shared" ca="1" si="3"/>
        <v>1.4148750130253475E-2</v>
      </c>
      <c r="Q41" s="23">
        <f t="shared" si="4"/>
        <v>25454.889000000003</v>
      </c>
    </row>
    <row r="42" spans="1:32" x14ac:dyDescent="0.2">
      <c r="A42" s="3" t="s">
        <v>38</v>
      </c>
      <c r="B42" s="4" t="s">
        <v>39</v>
      </c>
      <c r="C42" s="5">
        <v>41548.423000000003</v>
      </c>
      <c r="D42" s="7"/>
      <c r="E42" s="1">
        <f t="shared" si="0"/>
        <v>1408.0213948056239</v>
      </c>
      <c r="F42" s="1">
        <f t="shared" si="1"/>
        <v>1408</v>
      </c>
      <c r="G42" s="1">
        <f t="shared" si="2"/>
        <v>8.7784000003011897E-2</v>
      </c>
      <c r="I42" s="1">
        <f>+G42</f>
        <v>8.7784000003011897E-2</v>
      </c>
      <c r="O42" s="1">
        <f t="shared" ca="1" si="3"/>
        <v>1.7194753221876496E-2</v>
      </c>
      <c r="Q42" s="23">
        <f t="shared" si="4"/>
        <v>26529.923000000003</v>
      </c>
    </row>
    <row r="43" spans="1:32" x14ac:dyDescent="0.2">
      <c r="A43" s="1" t="s">
        <v>40</v>
      </c>
      <c r="C43" s="6">
        <v>48482.510999999999</v>
      </c>
      <c r="D43" s="6">
        <v>1.4E-2</v>
      </c>
      <c r="E43" s="1">
        <f t="shared" si="0"/>
        <v>3098.0043635810616</v>
      </c>
      <c r="F43" s="1">
        <f t="shared" si="1"/>
        <v>3098</v>
      </c>
      <c r="G43" s="1">
        <f t="shared" si="2"/>
        <v>1.7904000000271481E-2</v>
      </c>
      <c r="J43" s="1">
        <f>+G43</f>
        <v>1.7904000000271481E-2</v>
      </c>
      <c r="O43" s="1">
        <f t="shared" ca="1" si="3"/>
        <v>3.6842635759444853E-2</v>
      </c>
      <c r="Q43" s="23">
        <f t="shared" si="4"/>
        <v>33464.010999999999</v>
      </c>
      <c r="AB43" s="1">
        <v>24</v>
      </c>
      <c r="AD43" s="1" t="s">
        <v>41</v>
      </c>
      <c r="AF43" s="1" t="s">
        <v>42</v>
      </c>
    </row>
    <row r="44" spans="1:32" x14ac:dyDescent="0.2">
      <c r="A44" t="s">
        <v>43</v>
      </c>
      <c r="B44" s="8"/>
      <c r="C44" s="9">
        <v>53619.566899999998</v>
      </c>
      <c r="D44" s="9">
        <v>6.9999999999999999E-4</v>
      </c>
      <c r="E44" s="1">
        <f t="shared" si="0"/>
        <v>4350.0128440975159</v>
      </c>
      <c r="F44" s="1">
        <f t="shared" si="1"/>
        <v>4350</v>
      </c>
      <c r="G44" s="1">
        <f t="shared" si="2"/>
        <v>5.2700000000186265E-2</v>
      </c>
      <c r="K44" s="1">
        <f>+G44</f>
        <v>5.2700000000186265E-2</v>
      </c>
      <c r="O44" s="1">
        <f t="shared" ca="1" si="3"/>
        <v>5.1398345189643424E-2</v>
      </c>
      <c r="Q44" s="23">
        <f t="shared" si="4"/>
        <v>38601.066899999998</v>
      </c>
    </row>
    <row r="45" spans="1:32" x14ac:dyDescent="0.2">
      <c r="A45" s="3" t="s">
        <v>44</v>
      </c>
      <c r="B45" s="4" t="s">
        <v>39</v>
      </c>
      <c r="C45" s="5">
        <v>55802.3963</v>
      </c>
      <c r="D45" s="7"/>
      <c r="E45" s="1">
        <f t="shared" si="0"/>
        <v>4882.0142420812608</v>
      </c>
      <c r="F45" s="1">
        <f t="shared" si="1"/>
        <v>4882</v>
      </c>
      <c r="G45" s="1">
        <f t="shared" si="2"/>
        <v>5.8435999999346677E-2</v>
      </c>
      <c r="K45" s="1">
        <f>+G45</f>
        <v>5.8435999999346677E-2</v>
      </c>
      <c r="O45" s="1">
        <f t="shared" ca="1" si="3"/>
        <v>5.7583359100877959E-2</v>
      </c>
      <c r="Q45" s="23">
        <f t="shared" si="4"/>
        <v>40783.8963</v>
      </c>
    </row>
    <row r="46" spans="1:32" x14ac:dyDescent="0.2">
      <c r="A46" s="3" t="s">
        <v>44</v>
      </c>
      <c r="B46" s="4" t="s">
        <v>39</v>
      </c>
      <c r="C46" s="5">
        <v>55802.397199999999</v>
      </c>
      <c r="D46" s="7"/>
      <c r="E46" s="1">
        <f t="shared" si="0"/>
        <v>4882.0144614301753</v>
      </c>
      <c r="F46" s="1">
        <f t="shared" si="1"/>
        <v>4882</v>
      </c>
      <c r="G46" s="1">
        <f t="shared" si="2"/>
        <v>5.9335999998438638E-2</v>
      </c>
      <c r="K46" s="1">
        <f>+G46</f>
        <v>5.9335999998438638E-2</v>
      </c>
      <c r="O46" s="1">
        <f t="shared" ca="1" si="3"/>
        <v>5.7583359100877959E-2</v>
      </c>
      <c r="Q46" s="23">
        <f t="shared" si="4"/>
        <v>40783.897199999999</v>
      </c>
    </row>
    <row r="47" spans="1:32" x14ac:dyDescent="0.2">
      <c r="A47" s="3" t="s">
        <v>45</v>
      </c>
      <c r="B47" s="4" t="s">
        <v>39</v>
      </c>
      <c r="C47" s="5">
        <v>55839.321300000003</v>
      </c>
      <c r="D47" s="7"/>
      <c r="E47" s="1">
        <f t="shared" si="0"/>
        <v>4891.0136405777957</v>
      </c>
      <c r="F47" s="1">
        <f t="shared" si="1"/>
        <v>4891</v>
      </c>
      <c r="G47" s="1">
        <f t="shared" si="2"/>
        <v>5.5968000007851515E-2</v>
      </c>
      <c r="K47" s="1">
        <f>+G47</f>
        <v>5.5968000007851515E-2</v>
      </c>
      <c r="O47" s="1">
        <f t="shared" ca="1" si="3"/>
        <v>5.7687992794865015E-2</v>
      </c>
      <c r="Q47" s="23">
        <f t="shared" si="4"/>
        <v>40820.821300000003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A13" sqref="A13"/>
    </sheetView>
  </sheetViews>
  <sheetFormatPr defaultRowHeight="12.75" x14ac:dyDescent="0.2"/>
  <cols>
    <col min="1" max="1" width="19.7109375" style="10" customWidth="1"/>
    <col min="2" max="2" width="4.42578125" customWidth="1"/>
    <col min="3" max="3" width="12.7109375" style="10" customWidth="1"/>
    <col min="4" max="4" width="5.42578125" customWidth="1"/>
    <col min="5" max="5" width="14.85546875" customWidth="1"/>
    <col min="7" max="7" width="12" customWidth="1"/>
    <col min="8" max="8" width="14.140625" style="1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1" t="s">
        <v>46</v>
      </c>
      <c r="I1" s="12" t="s">
        <v>47</v>
      </c>
      <c r="J1" s="13" t="s">
        <v>48</v>
      </c>
    </row>
    <row r="2" spans="1:16" x14ac:dyDescent="0.2">
      <c r="I2" s="14" t="s">
        <v>49</v>
      </c>
      <c r="J2" s="15" t="s">
        <v>50</v>
      </c>
    </row>
    <row r="3" spans="1:16" x14ac:dyDescent="0.2">
      <c r="A3" s="16" t="s">
        <v>51</v>
      </c>
      <c r="I3" s="14" t="s">
        <v>52</v>
      </c>
      <c r="J3" s="15" t="s">
        <v>53</v>
      </c>
    </row>
    <row r="4" spans="1:16" x14ac:dyDescent="0.2">
      <c r="I4" s="14" t="s">
        <v>54</v>
      </c>
      <c r="J4" s="15" t="s">
        <v>53</v>
      </c>
    </row>
    <row r="5" spans="1:16" x14ac:dyDescent="0.2">
      <c r="I5" s="17" t="s">
        <v>55</v>
      </c>
      <c r="J5" s="18" t="s">
        <v>56</v>
      </c>
    </row>
    <row r="11" spans="1:16" ht="12.75" customHeight="1" x14ac:dyDescent="0.2">
      <c r="A11" s="10" t="str">
        <f t="shared" ref="A11:A36" si="0">P11</f>
        <v> BBS 99 </v>
      </c>
      <c r="B11" s="2" t="str">
        <f t="shared" ref="B11:B36" si="1">IF(H11=INT(H11),"I","II")</f>
        <v>I</v>
      </c>
      <c r="C11" s="10">
        <f t="shared" ref="C11:C36" si="2">1*G11</f>
        <v>48482.510999999999</v>
      </c>
      <c r="D11" t="str">
        <f t="shared" ref="D11:D36" si="3">VLOOKUP(F11,I$1:J$5,2,FALSE)</f>
        <v>vis</v>
      </c>
      <c r="E11">
        <f>VLOOKUP(C11,Active!C$21:E$973,3,FALSE)</f>
        <v>3098.0043635810616</v>
      </c>
      <c r="F11" s="2" t="s">
        <v>55</v>
      </c>
      <c r="G11" t="str">
        <f t="shared" ref="G11:G36" si="4">MID(I11,3,LEN(I11)-3)</f>
        <v>48482.511</v>
      </c>
      <c r="H11" s="10">
        <f t="shared" ref="H11:H36" si="5">1*K11</f>
        <v>3098</v>
      </c>
      <c r="I11" s="19" t="s">
        <v>57</v>
      </c>
      <c r="J11" s="20" t="s">
        <v>58</v>
      </c>
      <c r="K11" s="19">
        <v>3098</v>
      </c>
      <c r="L11" s="19" t="s">
        <v>59</v>
      </c>
      <c r="M11" s="20" t="s">
        <v>60</v>
      </c>
      <c r="N11" s="20"/>
      <c r="O11" s="21" t="s">
        <v>61</v>
      </c>
      <c r="P11" s="21" t="s">
        <v>62</v>
      </c>
    </row>
    <row r="12" spans="1:16" ht="12.75" customHeight="1" x14ac:dyDescent="0.2">
      <c r="A12" s="10" t="str">
        <f t="shared" si="0"/>
        <v>BAVM 178 </v>
      </c>
      <c r="B12" s="2" t="str">
        <f t="shared" si="1"/>
        <v>I</v>
      </c>
      <c r="C12" s="10">
        <f t="shared" si="2"/>
        <v>53619.566899999998</v>
      </c>
      <c r="D12" t="str">
        <f t="shared" si="3"/>
        <v>vis</v>
      </c>
      <c r="E12">
        <f>VLOOKUP(C12,Active!C$21:E$973,3,FALSE)</f>
        <v>4350.0128440975159</v>
      </c>
      <c r="F12" s="2" t="s">
        <v>55</v>
      </c>
      <c r="G12" t="str">
        <f t="shared" si="4"/>
        <v>53619.5669</v>
      </c>
      <c r="H12" s="10">
        <f t="shared" si="5"/>
        <v>4350</v>
      </c>
      <c r="I12" s="19" t="s">
        <v>63</v>
      </c>
      <c r="J12" s="20" t="s">
        <v>64</v>
      </c>
      <c r="K12" s="19">
        <v>4350</v>
      </c>
      <c r="L12" s="19" t="s">
        <v>65</v>
      </c>
      <c r="M12" s="20" t="s">
        <v>66</v>
      </c>
      <c r="N12" s="20" t="s">
        <v>67</v>
      </c>
      <c r="O12" s="21" t="s">
        <v>68</v>
      </c>
      <c r="P12" s="22" t="s">
        <v>69</v>
      </c>
    </row>
    <row r="13" spans="1:16" ht="12.75" customHeight="1" x14ac:dyDescent="0.2">
      <c r="A13" s="10" t="str">
        <f t="shared" si="0"/>
        <v> MHAR 6.4 </v>
      </c>
      <c r="B13" s="2" t="str">
        <f t="shared" si="1"/>
        <v>I</v>
      </c>
      <c r="C13" s="10">
        <f t="shared" si="2"/>
        <v>35771.230000000003</v>
      </c>
      <c r="D13" t="str">
        <f t="shared" si="3"/>
        <v>vis</v>
      </c>
      <c r="E13">
        <f>VLOOKUP(C13,Active!C$21:E$973,3,FALSE)</f>
        <v>-1.9497681224497903E-3</v>
      </c>
      <c r="F13" s="2" t="s">
        <v>55</v>
      </c>
      <c r="G13" t="str">
        <f t="shared" si="4"/>
        <v>35771.23</v>
      </c>
      <c r="H13" s="10">
        <f t="shared" si="5"/>
        <v>0</v>
      </c>
      <c r="I13" s="19" t="s">
        <v>70</v>
      </c>
      <c r="J13" s="20" t="s">
        <v>71</v>
      </c>
      <c r="K13" s="19">
        <v>0</v>
      </c>
      <c r="L13" s="19" t="s">
        <v>72</v>
      </c>
      <c r="M13" s="20" t="s">
        <v>73</v>
      </c>
      <c r="N13" s="20"/>
      <c r="O13" s="21" t="s">
        <v>74</v>
      </c>
      <c r="P13" s="21" t="s">
        <v>38</v>
      </c>
    </row>
    <row r="14" spans="1:16" ht="12.75" customHeight="1" x14ac:dyDescent="0.2">
      <c r="A14" s="10" t="str">
        <f t="shared" si="0"/>
        <v> MHAR 6.4 </v>
      </c>
      <c r="B14" s="2" t="str">
        <f t="shared" si="1"/>
        <v>I</v>
      </c>
      <c r="C14" s="10">
        <f t="shared" si="2"/>
        <v>36378.517</v>
      </c>
      <c r="D14" t="str">
        <f t="shared" si="3"/>
        <v>vis</v>
      </c>
      <c r="E14">
        <f>VLOOKUP(C14,Active!C$21:E$973,3,FALSE)</f>
        <v>148.00665455860718</v>
      </c>
      <c r="F14" s="2" t="s">
        <v>55</v>
      </c>
      <c r="G14" t="str">
        <f t="shared" si="4"/>
        <v>36378.517</v>
      </c>
      <c r="H14" s="10">
        <f t="shared" si="5"/>
        <v>148</v>
      </c>
      <c r="I14" s="19" t="s">
        <v>75</v>
      </c>
      <c r="J14" s="20" t="s">
        <v>76</v>
      </c>
      <c r="K14" s="19">
        <v>148</v>
      </c>
      <c r="L14" s="19" t="s">
        <v>77</v>
      </c>
      <c r="M14" s="20" t="s">
        <v>78</v>
      </c>
      <c r="N14" s="20"/>
      <c r="O14" s="21" t="s">
        <v>79</v>
      </c>
      <c r="P14" s="21" t="s">
        <v>38</v>
      </c>
    </row>
    <row r="15" spans="1:16" ht="12.75" customHeight="1" x14ac:dyDescent="0.2">
      <c r="A15" s="10" t="str">
        <f t="shared" si="0"/>
        <v> MHAR 6.4 </v>
      </c>
      <c r="B15" s="2" t="str">
        <f t="shared" si="1"/>
        <v>I</v>
      </c>
      <c r="C15" s="10">
        <f t="shared" si="2"/>
        <v>36452.392999999996</v>
      </c>
      <c r="D15" t="str">
        <f t="shared" si="3"/>
        <v>vis</v>
      </c>
      <c r="E15">
        <f>VLOOKUP(C15,Active!C$21:E$973,3,FALSE)</f>
        <v>166.01178829807637</v>
      </c>
      <c r="F15" s="2" t="s">
        <v>55</v>
      </c>
      <c r="G15" t="str">
        <f t="shared" si="4"/>
        <v>36452.393</v>
      </c>
      <c r="H15" s="10">
        <f t="shared" si="5"/>
        <v>166</v>
      </c>
      <c r="I15" s="19" t="s">
        <v>80</v>
      </c>
      <c r="J15" s="20" t="s">
        <v>81</v>
      </c>
      <c r="K15" s="19">
        <v>166</v>
      </c>
      <c r="L15" s="19" t="s">
        <v>82</v>
      </c>
      <c r="M15" s="20" t="s">
        <v>78</v>
      </c>
      <c r="N15" s="20"/>
      <c r="O15" s="21" t="s">
        <v>79</v>
      </c>
      <c r="P15" s="21" t="s">
        <v>38</v>
      </c>
    </row>
    <row r="16" spans="1:16" ht="12.75" customHeight="1" x14ac:dyDescent="0.2">
      <c r="A16" s="10" t="str">
        <f t="shared" si="0"/>
        <v> MHAR 6.4 </v>
      </c>
      <c r="B16" s="2" t="str">
        <f t="shared" si="1"/>
        <v>I</v>
      </c>
      <c r="C16" s="10">
        <f t="shared" si="2"/>
        <v>36456.404999999999</v>
      </c>
      <c r="D16" t="str">
        <f t="shared" si="3"/>
        <v>vis</v>
      </c>
      <c r="E16">
        <f>VLOOKUP(C16,Active!C$21:E$973,3,FALSE)</f>
        <v>166.98959701217564</v>
      </c>
      <c r="F16" s="2" t="s">
        <v>55</v>
      </c>
      <c r="G16" t="str">
        <f t="shared" si="4"/>
        <v>36456.405</v>
      </c>
      <c r="H16" s="10">
        <f t="shared" si="5"/>
        <v>167</v>
      </c>
      <c r="I16" s="19" t="s">
        <v>83</v>
      </c>
      <c r="J16" s="20" t="s">
        <v>84</v>
      </c>
      <c r="K16" s="19">
        <v>167</v>
      </c>
      <c r="L16" s="19" t="s">
        <v>85</v>
      </c>
      <c r="M16" s="20" t="s">
        <v>78</v>
      </c>
      <c r="N16" s="20"/>
      <c r="O16" s="21" t="s">
        <v>79</v>
      </c>
      <c r="P16" s="21" t="s">
        <v>38</v>
      </c>
    </row>
    <row r="17" spans="1:16" ht="12.75" customHeight="1" x14ac:dyDescent="0.2">
      <c r="A17" s="10" t="str">
        <f t="shared" si="0"/>
        <v> MHAR 6.4 </v>
      </c>
      <c r="B17" s="2" t="str">
        <f t="shared" si="1"/>
        <v>I</v>
      </c>
      <c r="C17" s="10">
        <f t="shared" si="2"/>
        <v>36813.436999999998</v>
      </c>
      <c r="D17" t="str">
        <f t="shared" si="3"/>
        <v>vis</v>
      </c>
      <c r="E17">
        <f>VLOOKUP(C17,Active!C$21:E$973,3,FALSE)</f>
        <v>254.0057986104004</v>
      </c>
      <c r="F17" s="2" t="s">
        <v>55</v>
      </c>
      <c r="G17" t="str">
        <f t="shared" si="4"/>
        <v>36813.437</v>
      </c>
      <c r="H17" s="10">
        <f t="shared" si="5"/>
        <v>254</v>
      </c>
      <c r="I17" s="19" t="s">
        <v>86</v>
      </c>
      <c r="J17" s="20" t="s">
        <v>87</v>
      </c>
      <c r="K17" s="19">
        <v>254</v>
      </c>
      <c r="L17" s="19" t="s">
        <v>88</v>
      </c>
      <c r="M17" s="20" t="s">
        <v>78</v>
      </c>
      <c r="N17" s="20"/>
      <c r="O17" s="21" t="s">
        <v>79</v>
      </c>
      <c r="P17" s="21" t="s">
        <v>38</v>
      </c>
    </row>
    <row r="18" spans="1:16" ht="12.75" customHeight="1" x14ac:dyDescent="0.2">
      <c r="A18" s="10" t="str">
        <f t="shared" si="0"/>
        <v> MHAR 6.4 </v>
      </c>
      <c r="B18" s="2" t="str">
        <f t="shared" si="1"/>
        <v>I</v>
      </c>
      <c r="C18" s="10">
        <f t="shared" si="2"/>
        <v>36817.546999999999</v>
      </c>
      <c r="D18" t="str">
        <f t="shared" si="3"/>
        <v>vis</v>
      </c>
      <c r="E18">
        <f>VLOOKUP(C18,Active!C$21:E$973,3,FALSE)</f>
        <v>255.00749198401607</v>
      </c>
      <c r="F18" s="2" t="s">
        <v>55</v>
      </c>
      <c r="G18" t="str">
        <f t="shared" si="4"/>
        <v>36817.547</v>
      </c>
      <c r="H18" s="10">
        <f t="shared" si="5"/>
        <v>255</v>
      </c>
      <c r="I18" s="19" t="s">
        <v>89</v>
      </c>
      <c r="J18" s="20" t="s">
        <v>90</v>
      </c>
      <c r="K18" s="19">
        <v>255</v>
      </c>
      <c r="L18" s="19" t="s">
        <v>91</v>
      </c>
      <c r="M18" s="20" t="s">
        <v>78</v>
      </c>
      <c r="N18" s="20"/>
      <c r="O18" s="21" t="s">
        <v>79</v>
      </c>
      <c r="P18" s="21" t="s">
        <v>38</v>
      </c>
    </row>
    <row r="19" spans="1:16" ht="12.75" customHeight="1" x14ac:dyDescent="0.2">
      <c r="A19" s="10" t="str">
        <f t="shared" si="0"/>
        <v> MHAR 6.4 </v>
      </c>
      <c r="B19" s="2" t="str">
        <f t="shared" si="1"/>
        <v>I</v>
      </c>
      <c r="C19" s="10">
        <f t="shared" si="2"/>
        <v>37174.459000000003</v>
      </c>
      <c r="D19" t="str">
        <f t="shared" si="3"/>
        <v>vis</v>
      </c>
      <c r="E19">
        <f>VLOOKUP(C19,Active!C$21:E$973,3,FALSE)</f>
        <v>341.99444706038457</v>
      </c>
      <c r="F19" s="2" t="s">
        <v>55</v>
      </c>
      <c r="G19" t="str">
        <f t="shared" si="4"/>
        <v>37174.459</v>
      </c>
      <c r="H19" s="10">
        <f t="shared" si="5"/>
        <v>342</v>
      </c>
      <c r="I19" s="19" t="s">
        <v>92</v>
      </c>
      <c r="J19" s="20" t="s">
        <v>93</v>
      </c>
      <c r="K19" s="19">
        <v>342</v>
      </c>
      <c r="L19" s="19" t="s">
        <v>94</v>
      </c>
      <c r="M19" s="20" t="s">
        <v>78</v>
      </c>
      <c r="N19" s="20"/>
      <c r="O19" s="21" t="s">
        <v>79</v>
      </c>
      <c r="P19" s="21" t="s">
        <v>38</v>
      </c>
    </row>
    <row r="20" spans="1:16" ht="12.75" customHeight="1" x14ac:dyDescent="0.2">
      <c r="A20" s="10" t="str">
        <f t="shared" si="0"/>
        <v> MHAR 6.4 </v>
      </c>
      <c r="B20" s="2" t="str">
        <f t="shared" si="1"/>
        <v>I</v>
      </c>
      <c r="C20" s="10">
        <f t="shared" si="2"/>
        <v>37642.256999999998</v>
      </c>
      <c r="D20" t="str">
        <f t="shared" si="3"/>
        <v>vis</v>
      </c>
      <c r="E20">
        <f>VLOOKUP(C20,Active!C$21:E$973,3,FALSE)</f>
        <v>456.00665065907043</v>
      </c>
      <c r="F20" s="2" t="s">
        <v>55</v>
      </c>
      <c r="G20" t="str">
        <f t="shared" si="4"/>
        <v>37642.257</v>
      </c>
      <c r="H20" s="10">
        <f t="shared" si="5"/>
        <v>456</v>
      </c>
      <c r="I20" s="19" t="s">
        <v>95</v>
      </c>
      <c r="J20" s="20" t="s">
        <v>96</v>
      </c>
      <c r="K20" s="19">
        <v>456</v>
      </c>
      <c r="L20" s="19" t="s">
        <v>77</v>
      </c>
      <c r="M20" s="20" t="s">
        <v>78</v>
      </c>
      <c r="N20" s="20"/>
      <c r="O20" s="21" t="s">
        <v>79</v>
      </c>
      <c r="P20" s="21" t="s">
        <v>38</v>
      </c>
    </row>
    <row r="21" spans="1:16" ht="12.75" customHeight="1" x14ac:dyDescent="0.2">
      <c r="A21" s="10" t="str">
        <f t="shared" si="0"/>
        <v> MHAR 6.4 </v>
      </c>
      <c r="B21" s="2" t="str">
        <f t="shared" si="1"/>
        <v>I</v>
      </c>
      <c r="C21" s="10">
        <f t="shared" si="2"/>
        <v>38282.360999999997</v>
      </c>
      <c r="D21" t="str">
        <f t="shared" si="3"/>
        <v>vis</v>
      </c>
      <c r="E21">
        <f>VLOOKUP(C21,Active!C$21:E$973,3,FALSE)</f>
        <v>612.0134475507499</v>
      </c>
      <c r="F21" s="2" t="s">
        <v>55</v>
      </c>
      <c r="G21" t="str">
        <f t="shared" si="4"/>
        <v>38282.361</v>
      </c>
      <c r="H21" s="10">
        <f t="shared" si="5"/>
        <v>612</v>
      </c>
      <c r="I21" s="19" t="s">
        <v>97</v>
      </c>
      <c r="J21" s="20" t="s">
        <v>98</v>
      </c>
      <c r="K21" s="19">
        <v>612</v>
      </c>
      <c r="L21" s="19" t="s">
        <v>99</v>
      </c>
      <c r="M21" s="20" t="s">
        <v>78</v>
      </c>
      <c r="N21" s="20"/>
      <c r="O21" s="21" t="s">
        <v>79</v>
      </c>
      <c r="P21" s="21" t="s">
        <v>38</v>
      </c>
    </row>
    <row r="22" spans="1:16" ht="12.75" customHeight="1" x14ac:dyDescent="0.2">
      <c r="A22" s="10" t="str">
        <f t="shared" si="0"/>
        <v> MHAR 6.4 </v>
      </c>
      <c r="B22" s="2" t="str">
        <f t="shared" si="1"/>
        <v>I</v>
      </c>
      <c r="C22" s="10">
        <f t="shared" si="2"/>
        <v>38286.375999999997</v>
      </c>
      <c r="D22" t="str">
        <f t="shared" si="3"/>
        <v>vis</v>
      </c>
      <c r="E22">
        <f>VLOOKUP(C22,Active!C$21:E$973,3,FALSE)</f>
        <v>612.99198742789486</v>
      </c>
      <c r="F22" s="2" t="s">
        <v>55</v>
      </c>
      <c r="G22" t="str">
        <f t="shared" si="4"/>
        <v>38286.376</v>
      </c>
      <c r="H22" s="10">
        <f t="shared" si="5"/>
        <v>613</v>
      </c>
      <c r="I22" s="19" t="s">
        <v>100</v>
      </c>
      <c r="J22" s="20" t="s">
        <v>101</v>
      </c>
      <c r="K22" s="19">
        <v>613</v>
      </c>
      <c r="L22" s="19" t="s">
        <v>102</v>
      </c>
      <c r="M22" s="20" t="s">
        <v>78</v>
      </c>
      <c r="N22" s="20"/>
      <c r="O22" s="21" t="s">
        <v>79</v>
      </c>
      <c r="P22" s="21" t="s">
        <v>38</v>
      </c>
    </row>
    <row r="23" spans="1:16" ht="12.75" customHeight="1" x14ac:dyDescent="0.2">
      <c r="A23" s="10" t="str">
        <f t="shared" si="0"/>
        <v> MHAR 6.4 </v>
      </c>
      <c r="B23" s="2" t="str">
        <f t="shared" si="1"/>
        <v>I</v>
      </c>
      <c r="C23" s="10">
        <f t="shared" si="2"/>
        <v>38323.332999999999</v>
      </c>
      <c r="D23" t="str">
        <f t="shared" si="3"/>
        <v>vis</v>
      </c>
      <c r="E23">
        <f>VLOOKUP(C23,Active!C$21:E$973,3,FALSE)</f>
        <v>621.99918499692455</v>
      </c>
      <c r="F23" s="2" t="s">
        <v>55</v>
      </c>
      <c r="G23" t="str">
        <f t="shared" si="4"/>
        <v>38323.333</v>
      </c>
      <c r="H23" s="10">
        <f t="shared" si="5"/>
        <v>622</v>
      </c>
      <c r="I23" s="19" t="s">
        <v>103</v>
      </c>
      <c r="J23" s="20" t="s">
        <v>104</v>
      </c>
      <c r="K23" s="19">
        <v>622</v>
      </c>
      <c r="L23" s="19" t="s">
        <v>105</v>
      </c>
      <c r="M23" s="20" t="s">
        <v>78</v>
      </c>
      <c r="N23" s="20"/>
      <c r="O23" s="21" t="s">
        <v>79</v>
      </c>
      <c r="P23" s="21" t="s">
        <v>38</v>
      </c>
    </row>
    <row r="24" spans="1:16" ht="12.75" customHeight="1" x14ac:dyDescent="0.2">
      <c r="A24" s="10" t="str">
        <f t="shared" si="0"/>
        <v> MHAR 6.4 </v>
      </c>
      <c r="B24" s="2" t="str">
        <f t="shared" si="1"/>
        <v>I</v>
      </c>
      <c r="C24" s="10">
        <f t="shared" si="2"/>
        <v>38495.595999999998</v>
      </c>
      <c r="D24" t="str">
        <f t="shared" si="3"/>
        <v>vis</v>
      </c>
      <c r="E24">
        <f>VLOOKUP(C24,Active!C$21:E$973,3,FALSE)</f>
        <v>663.9832982862514</v>
      </c>
      <c r="F24" s="2" t="s">
        <v>55</v>
      </c>
      <c r="G24" t="str">
        <f t="shared" si="4"/>
        <v>38495.596</v>
      </c>
      <c r="H24" s="10">
        <f t="shared" si="5"/>
        <v>664</v>
      </c>
      <c r="I24" s="19" t="s">
        <v>106</v>
      </c>
      <c r="J24" s="20" t="s">
        <v>107</v>
      </c>
      <c r="K24" s="19">
        <v>664</v>
      </c>
      <c r="L24" s="19" t="s">
        <v>108</v>
      </c>
      <c r="M24" s="20" t="s">
        <v>78</v>
      </c>
      <c r="N24" s="20"/>
      <c r="O24" s="21" t="s">
        <v>79</v>
      </c>
      <c r="P24" s="21" t="s">
        <v>38</v>
      </c>
    </row>
    <row r="25" spans="1:16" ht="12.75" customHeight="1" x14ac:dyDescent="0.2">
      <c r="A25" s="10" t="str">
        <f t="shared" si="0"/>
        <v> MHAR 6.4 </v>
      </c>
      <c r="B25" s="2" t="str">
        <f t="shared" si="1"/>
        <v>I</v>
      </c>
      <c r="C25" s="10">
        <f t="shared" si="2"/>
        <v>38528.536</v>
      </c>
      <c r="D25" t="str">
        <f t="shared" si="3"/>
        <v>vis</v>
      </c>
      <c r="E25">
        <f>VLOOKUP(C25,Active!C$21:E$973,3,FALSE)</f>
        <v>672.01146853610499</v>
      </c>
      <c r="F25" s="2" t="s">
        <v>55</v>
      </c>
      <c r="G25" t="str">
        <f t="shared" si="4"/>
        <v>38528.536</v>
      </c>
      <c r="H25" s="10">
        <f t="shared" si="5"/>
        <v>672</v>
      </c>
      <c r="I25" s="19" t="s">
        <v>109</v>
      </c>
      <c r="J25" s="20" t="s">
        <v>110</v>
      </c>
      <c r="K25" s="19">
        <v>672</v>
      </c>
      <c r="L25" s="19" t="s">
        <v>111</v>
      </c>
      <c r="M25" s="20" t="s">
        <v>78</v>
      </c>
      <c r="N25" s="20"/>
      <c r="O25" s="21" t="s">
        <v>79</v>
      </c>
      <c r="P25" s="21" t="s">
        <v>38</v>
      </c>
    </row>
    <row r="26" spans="1:16" ht="12.75" customHeight="1" x14ac:dyDescent="0.2">
      <c r="A26" s="10" t="str">
        <f t="shared" si="0"/>
        <v> MHAR 6.4 </v>
      </c>
      <c r="B26" s="2" t="str">
        <f t="shared" si="1"/>
        <v>I</v>
      </c>
      <c r="C26" s="10">
        <f t="shared" si="2"/>
        <v>38852.601999999999</v>
      </c>
      <c r="D26" t="str">
        <f t="shared" si="3"/>
        <v>vis</v>
      </c>
      <c r="E26">
        <f>VLOOKUP(C26,Active!C$21:E$973,3,FALSE)</f>
        <v>750.99316313807412</v>
      </c>
      <c r="F26" s="2" t="s">
        <v>55</v>
      </c>
      <c r="G26" t="str">
        <f t="shared" si="4"/>
        <v>38852.602</v>
      </c>
      <c r="H26" s="10">
        <f t="shared" si="5"/>
        <v>751</v>
      </c>
      <c r="I26" s="19" t="s">
        <v>112</v>
      </c>
      <c r="J26" s="20" t="s">
        <v>113</v>
      </c>
      <c r="K26" s="19">
        <v>751</v>
      </c>
      <c r="L26" s="19" t="s">
        <v>114</v>
      </c>
      <c r="M26" s="20" t="s">
        <v>78</v>
      </c>
      <c r="N26" s="20"/>
      <c r="O26" s="21" t="s">
        <v>79</v>
      </c>
      <c r="P26" s="21" t="s">
        <v>38</v>
      </c>
    </row>
    <row r="27" spans="1:16" ht="12.75" customHeight="1" x14ac:dyDescent="0.2">
      <c r="A27" s="10" t="str">
        <f t="shared" si="0"/>
        <v> MHAR 6.4 </v>
      </c>
      <c r="B27" s="2" t="str">
        <f t="shared" si="1"/>
        <v>I</v>
      </c>
      <c r="C27" s="10">
        <f t="shared" si="2"/>
        <v>39287.482000000004</v>
      </c>
      <c r="D27" t="str">
        <f t="shared" si="3"/>
        <v>vis</v>
      </c>
      <c r="E27">
        <f>VLOOKUP(C27,Active!C$21:E$973,3,FALSE)</f>
        <v>856.98255834924976</v>
      </c>
      <c r="F27" s="2" t="s">
        <v>55</v>
      </c>
      <c r="G27" t="str">
        <f t="shared" si="4"/>
        <v>39287.482</v>
      </c>
      <c r="H27" s="10">
        <f t="shared" si="5"/>
        <v>857</v>
      </c>
      <c r="I27" s="19" t="s">
        <v>115</v>
      </c>
      <c r="J27" s="20" t="s">
        <v>116</v>
      </c>
      <c r="K27" s="19">
        <v>857</v>
      </c>
      <c r="L27" s="19" t="s">
        <v>117</v>
      </c>
      <c r="M27" s="20" t="s">
        <v>78</v>
      </c>
      <c r="N27" s="20"/>
      <c r="O27" s="21" t="s">
        <v>79</v>
      </c>
      <c r="P27" s="21" t="s">
        <v>38</v>
      </c>
    </row>
    <row r="28" spans="1:16" ht="12.75" customHeight="1" x14ac:dyDescent="0.2">
      <c r="A28" s="10" t="str">
        <f t="shared" si="0"/>
        <v> MHAR 6.4 </v>
      </c>
      <c r="B28" s="2" t="str">
        <f t="shared" si="1"/>
        <v>I</v>
      </c>
      <c r="C28" s="10">
        <f t="shared" si="2"/>
        <v>39681.468999999997</v>
      </c>
      <c r="D28" t="str">
        <f t="shared" si="3"/>
        <v>vis</v>
      </c>
      <c r="E28">
        <f>VLOOKUP(C28,Active!C$21:E$973,3,FALSE)</f>
        <v>953.0054700744713</v>
      </c>
      <c r="F28" s="2" t="s">
        <v>55</v>
      </c>
      <c r="G28" t="str">
        <f t="shared" si="4"/>
        <v>39681.469</v>
      </c>
      <c r="H28" s="10">
        <f t="shared" si="5"/>
        <v>953</v>
      </c>
      <c r="I28" s="19" t="s">
        <v>118</v>
      </c>
      <c r="J28" s="20" t="s">
        <v>119</v>
      </c>
      <c r="K28" s="19">
        <v>953</v>
      </c>
      <c r="L28" s="19" t="s">
        <v>120</v>
      </c>
      <c r="M28" s="20" t="s">
        <v>78</v>
      </c>
      <c r="N28" s="20"/>
      <c r="O28" s="21" t="s">
        <v>79</v>
      </c>
      <c r="P28" s="21" t="s">
        <v>38</v>
      </c>
    </row>
    <row r="29" spans="1:16" ht="12.75" customHeight="1" x14ac:dyDescent="0.2">
      <c r="A29" s="10" t="str">
        <f t="shared" si="0"/>
        <v> MHAR 6.4 </v>
      </c>
      <c r="B29" s="2" t="str">
        <f t="shared" si="1"/>
        <v>I</v>
      </c>
      <c r="C29" s="10">
        <f t="shared" si="2"/>
        <v>39964.538</v>
      </c>
      <c r="D29" t="str">
        <f t="shared" si="3"/>
        <v>vis</v>
      </c>
      <c r="E29">
        <f>VLOOKUP(C29,Active!C$21:E$973,3,FALSE)</f>
        <v>1021.9953342048805</v>
      </c>
      <c r="F29" s="2" t="s">
        <v>55</v>
      </c>
      <c r="G29" t="str">
        <f t="shared" si="4"/>
        <v>39964.538</v>
      </c>
      <c r="H29" s="10">
        <f t="shared" si="5"/>
        <v>1022</v>
      </c>
      <c r="I29" s="19" t="s">
        <v>121</v>
      </c>
      <c r="J29" s="20" t="s">
        <v>122</v>
      </c>
      <c r="K29" s="19">
        <v>1022</v>
      </c>
      <c r="L29" s="19" t="s">
        <v>123</v>
      </c>
      <c r="M29" s="20" t="s">
        <v>78</v>
      </c>
      <c r="N29" s="20"/>
      <c r="O29" s="21" t="s">
        <v>79</v>
      </c>
      <c r="P29" s="21" t="s">
        <v>38</v>
      </c>
    </row>
    <row r="30" spans="1:16" ht="12.75" customHeight="1" x14ac:dyDescent="0.2">
      <c r="A30" s="10" t="str">
        <f t="shared" si="0"/>
        <v> MHAR 6.4 </v>
      </c>
      <c r="B30" s="2" t="str">
        <f t="shared" si="1"/>
        <v>I</v>
      </c>
      <c r="C30" s="10">
        <f t="shared" si="2"/>
        <v>40116.39</v>
      </c>
      <c r="D30" t="str">
        <f t="shared" si="3"/>
        <v>vis</v>
      </c>
      <c r="E30">
        <f>VLOOKUP(C30,Active!C$21:E$973,3,FALSE)</f>
        <v>1059.0048578472811</v>
      </c>
      <c r="F30" s="2" t="s">
        <v>55</v>
      </c>
      <c r="G30" t="str">
        <f t="shared" si="4"/>
        <v>40116.390</v>
      </c>
      <c r="H30" s="10">
        <f t="shared" si="5"/>
        <v>1059</v>
      </c>
      <c r="I30" s="19" t="s">
        <v>124</v>
      </c>
      <c r="J30" s="20" t="s">
        <v>125</v>
      </c>
      <c r="K30" s="19">
        <v>1059</v>
      </c>
      <c r="L30" s="19" t="s">
        <v>126</v>
      </c>
      <c r="M30" s="20" t="s">
        <v>78</v>
      </c>
      <c r="N30" s="20"/>
      <c r="O30" s="21" t="s">
        <v>79</v>
      </c>
      <c r="P30" s="21" t="s">
        <v>38</v>
      </c>
    </row>
    <row r="31" spans="1:16" ht="12.75" customHeight="1" x14ac:dyDescent="0.2">
      <c r="A31" s="10" t="str">
        <f t="shared" si="0"/>
        <v> MHAR 6.4 </v>
      </c>
      <c r="B31" s="2" t="str">
        <f t="shared" si="1"/>
        <v>I</v>
      </c>
      <c r="C31" s="10">
        <f t="shared" si="2"/>
        <v>40153.339999999997</v>
      </c>
      <c r="D31" t="str">
        <f t="shared" si="3"/>
        <v>vis</v>
      </c>
      <c r="E31">
        <f>VLOOKUP(C31,Active!C$21:E$973,3,FALSE)</f>
        <v>1068.0103493692011</v>
      </c>
      <c r="F31" s="2" t="s">
        <v>55</v>
      </c>
      <c r="G31" t="str">
        <f t="shared" si="4"/>
        <v>40153.340</v>
      </c>
      <c r="H31" s="10">
        <f t="shared" si="5"/>
        <v>1068</v>
      </c>
      <c r="I31" s="19" t="s">
        <v>127</v>
      </c>
      <c r="J31" s="20" t="s">
        <v>128</v>
      </c>
      <c r="K31" s="19">
        <v>1068</v>
      </c>
      <c r="L31" s="19" t="s">
        <v>129</v>
      </c>
      <c r="M31" s="20" t="s">
        <v>78</v>
      </c>
      <c r="N31" s="20"/>
      <c r="O31" s="21" t="s">
        <v>79</v>
      </c>
      <c r="P31" s="21" t="s">
        <v>38</v>
      </c>
    </row>
    <row r="32" spans="1:16" ht="12.75" customHeight="1" x14ac:dyDescent="0.2">
      <c r="A32" s="10" t="str">
        <f t="shared" si="0"/>
        <v> MHAR 6.4 </v>
      </c>
      <c r="B32" s="2" t="str">
        <f t="shared" si="1"/>
        <v>I</v>
      </c>
      <c r="C32" s="10">
        <f t="shared" si="2"/>
        <v>40473.389000000003</v>
      </c>
      <c r="D32" t="str">
        <f t="shared" si="3"/>
        <v>vis</v>
      </c>
      <c r="E32">
        <f>VLOOKUP(C32,Active!C$21:E$973,3,FALSE)</f>
        <v>1146.0130166519959</v>
      </c>
      <c r="F32" s="2" t="s">
        <v>55</v>
      </c>
      <c r="G32" t="str">
        <f t="shared" si="4"/>
        <v>40473.389</v>
      </c>
      <c r="H32" s="10">
        <f t="shared" si="5"/>
        <v>1146</v>
      </c>
      <c r="I32" s="19" t="s">
        <v>130</v>
      </c>
      <c r="J32" s="20" t="s">
        <v>131</v>
      </c>
      <c r="K32" s="19">
        <v>1146</v>
      </c>
      <c r="L32" s="19" t="s">
        <v>132</v>
      </c>
      <c r="M32" s="20" t="s">
        <v>78</v>
      </c>
      <c r="N32" s="20"/>
      <c r="O32" s="21" t="s">
        <v>79</v>
      </c>
      <c r="P32" s="21" t="s">
        <v>38</v>
      </c>
    </row>
    <row r="33" spans="1:16" ht="12.75" customHeight="1" x14ac:dyDescent="0.2">
      <c r="A33" s="10" t="str">
        <f t="shared" si="0"/>
        <v> MHAR 6.4 </v>
      </c>
      <c r="B33" s="2" t="str">
        <f t="shared" si="1"/>
        <v>I</v>
      </c>
      <c r="C33" s="10">
        <f t="shared" si="2"/>
        <v>41548.423000000003</v>
      </c>
      <c r="D33" t="str">
        <f t="shared" si="3"/>
        <v>vis</v>
      </c>
      <c r="E33">
        <f>VLOOKUP(C33,Active!C$21:E$973,3,FALSE)</f>
        <v>1408.0213948056239</v>
      </c>
      <c r="F33" s="2" t="s">
        <v>55</v>
      </c>
      <c r="G33" t="str">
        <f t="shared" si="4"/>
        <v>41548.423</v>
      </c>
      <c r="H33" s="10">
        <f t="shared" si="5"/>
        <v>1408</v>
      </c>
      <c r="I33" s="19" t="s">
        <v>133</v>
      </c>
      <c r="J33" s="20" t="s">
        <v>134</v>
      </c>
      <c r="K33" s="19">
        <v>1408</v>
      </c>
      <c r="L33" s="19" t="s">
        <v>135</v>
      </c>
      <c r="M33" s="20" t="s">
        <v>78</v>
      </c>
      <c r="N33" s="20"/>
      <c r="O33" s="21" t="s">
        <v>79</v>
      </c>
      <c r="P33" s="21" t="s">
        <v>38</v>
      </c>
    </row>
    <row r="34" spans="1:16" ht="12.75" customHeight="1" x14ac:dyDescent="0.2">
      <c r="A34" s="10" t="str">
        <f t="shared" si="0"/>
        <v>BAVM 225 </v>
      </c>
      <c r="B34" s="2" t="str">
        <f t="shared" si="1"/>
        <v>I</v>
      </c>
      <c r="C34" s="10">
        <f t="shared" si="2"/>
        <v>55802.3963</v>
      </c>
      <c r="D34" t="str">
        <f t="shared" si="3"/>
        <v>vis</v>
      </c>
      <c r="E34">
        <f>VLOOKUP(C34,Active!C$21:E$973,3,FALSE)</f>
        <v>4882.0142420812608</v>
      </c>
      <c r="F34" s="2" t="s">
        <v>55</v>
      </c>
      <c r="G34" t="str">
        <f t="shared" si="4"/>
        <v>55802.3963</v>
      </c>
      <c r="H34" s="10">
        <f t="shared" si="5"/>
        <v>4882</v>
      </c>
      <c r="I34" s="19" t="s">
        <v>136</v>
      </c>
      <c r="J34" s="20" t="s">
        <v>137</v>
      </c>
      <c r="K34" s="19" t="s">
        <v>138</v>
      </c>
      <c r="L34" s="19" t="s">
        <v>139</v>
      </c>
      <c r="M34" s="20" t="s">
        <v>66</v>
      </c>
      <c r="N34" s="20" t="s">
        <v>67</v>
      </c>
      <c r="O34" s="21" t="s">
        <v>68</v>
      </c>
      <c r="P34" s="22" t="s">
        <v>44</v>
      </c>
    </row>
    <row r="35" spans="1:16" ht="12.75" customHeight="1" x14ac:dyDescent="0.2">
      <c r="A35" s="10" t="str">
        <f t="shared" si="0"/>
        <v>BAVM 225 </v>
      </c>
      <c r="B35" s="2" t="str">
        <f t="shared" si="1"/>
        <v>I</v>
      </c>
      <c r="C35" s="10">
        <f t="shared" si="2"/>
        <v>55802.397199999999</v>
      </c>
      <c r="D35" t="str">
        <f t="shared" si="3"/>
        <v>vis</v>
      </c>
      <c r="E35">
        <f>VLOOKUP(C35,Active!C$21:E$973,3,FALSE)</f>
        <v>4882.0144614301753</v>
      </c>
      <c r="F35" s="2" t="s">
        <v>55</v>
      </c>
      <c r="G35" t="str">
        <f t="shared" si="4"/>
        <v>55802.3972</v>
      </c>
      <c r="H35" s="10">
        <f t="shared" si="5"/>
        <v>4882</v>
      </c>
      <c r="I35" s="19" t="s">
        <v>140</v>
      </c>
      <c r="J35" s="20" t="s">
        <v>141</v>
      </c>
      <c r="K35" s="19" t="s">
        <v>138</v>
      </c>
      <c r="L35" s="19" t="s">
        <v>142</v>
      </c>
      <c r="M35" s="20" t="s">
        <v>66</v>
      </c>
      <c r="N35" s="20" t="s">
        <v>67</v>
      </c>
      <c r="O35" s="21" t="s">
        <v>143</v>
      </c>
      <c r="P35" s="22" t="s">
        <v>44</v>
      </c>
    </row>
    <row r="36" spans="1:16" ht="12.75" customHeight="1" x14ac:dyDescent="0.2">
      <c r="A36" s="10" t="str">
        <f t="shared" si="0"/>
        <v>IBVS 6033 </v>
      </c>
      <c r="B36" s="2" t="str">
        <f t="shared" si="1"/>
        <v>I</v>
      </c>
      <c r="C36" s="10">
        <f t="shared" si="2"/>
        <v>55839.321300000003</v>
      </c>
      <c r="D36" t="str">
        <f t="shared" si="3"/>
        <v>vis</v>
      </c>
      <c r="E36">
        <f>VLOOKUP(C36,Active!C$21:E$973,3,FALSE)</f>
        <v>4891.0136405777957</v>
      </c>
      <c r="F36" s="2" t="s">
        <v>55</v>
      </c>
      <c r="G36" t="str">
        <f t="shared" si="4"/>
        <v>55839.3213</v>
      </c>
      <c r="H36" s="10">
        <f t="shared" si="5"/>
        <v>4891</v>
      </c>
      <c r="I36" s="19" t="s">
        <v>144</v>
      </c>
      <c r="J36" s="20" t="s">
        <v>145</v>
      </c>
      <c r="K36" s="19" t="s">
        <v>146</v>
      </c>
      <c r="L36" s="19" t="s">
        <v>147</v>
      </c>
      <c r="M36" s="20" t="s">
        <v>66</v>
      </c>
      <c r="N36" s="20" t="s">
        <v>55</v>
      </c>
      <c r="O36" s="21" t="s">
        <v>148</v>
      </c>
      <c r="P36" s="22" t="s">
        <v>45</v>
      </c>
    </row>
  </sheetData>
  <sheetProtection selectLockedCells="1" selectUnlockedCells="1"/>
  <hyperlinks>
    <hyperlink ref="P12" r:id="rId1"/>
    <hyperlink ref="P34" r:id="rId2"/>
    <hyperlink ref="P35" r:id="rId3"/>
    <hyperlink ref="P36" r:id="rId4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2024-03-10T02:14:49Z</dcterms:created>
  <dcterms:modified xsi:type="dcterms:W3CDTF">2024-03-10T02:14:49Z</dcterms:modified>
</cp:coreProperties>
</file>