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2F9736A-C3EA-4F3C-AFE0-E5B2BF24DC4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4" i="1" l="1"/>
  <c r="Q25" i="1"/>
  <c r="G12" i="2"/>
  <c r="C12" i="2"/>
  <c r="G14" i="2"/>
  <c r="C14" i="2"/>
  <c r="G13" i="2"/>
  <c r="C13" i="2"/>
  <c r="G11" i="2"/>
  <c r="C11" i="2"/>
  <c r="H12" i="2"/>
  <c r="D12" i="2"/>
  <c r="B12" i="2"/>
  <c r="A12" i="2"/>
  <c r="H14" i="2"/>
  <c r="B14" i="2"/>
  <c r="D14" i="2"/>
  <c r="A14" i="2"/>
  <c r="H13" i="2"/>
  <c r="D13" i="2"/>
  <c r="B13" i="2"/>
  <c r="A13" i="2"/>
  <c r="H11" i="2"/>
  <c r="B11" i="2"/>
  <c r="D11" i="2"/>
  <c r="A11" i="2"/>
  <c r="F16" i="1"/>
  <c r="E9" i="1"/>
  <c r="D9" i="1"/>
  <c r="Q26" i="1"/>
  <c r="C17" i="1"/>
  <c r="Q23" i="1"/>
  <c r="Q22" i="1"/>
  <c r="C8" i="1"/>
  <c r="C7" i="1"/>
  <c r="E24" i="1"/>
  <c r="F24" i="1"/>
  <c r="Q21" i="1"/>
  <c r="E14" i="2"/>
  <c r="E13" i="2"/>
  <c r="E12" i="2"/>
  <c r="E22" i="1"/>
  <c r="F22" i="1"/>
  <c r="G25" i="1"/>
  <c r="K25" i="1"/>
  <c r="E26" i="1"/>
  <c r="F26" i="1"/>
  <c r="G26" i="1"/>
  <c r="K26" i="1"/>
  <c r="G23" i="1"/>
  <c r="K23" i="1"/>
  <c r="E25" i="1"/>
  <c r="F25" i="1"/>
  <c r="E23" i="1"/>
  <c r="F23" i="1"/>
  <c r="G24" i="1"/>
  <c r="K24" i="1"/>
  <c r="E21" i="1"/>
  <c r="F21" i="1"/>
  <c r="G22" i="1"/>
  <c r="I22" i="1"/>
  <c r="E11" i="2"/>
  <c r="C11" i="1"/>
  <c r="C12" i="1"/>
  <c r="C16" i="1" l="1"/>
  <c r="D18" i="1" s="1"/>
  <c r="O21" i="1"/>
  <c r="O25" i="1"/>
  <c r="O22" i="1"/>
  <c r="C15" i="1"/>
  <c r="F18" i="1" s="1"/>
  <c r="O23" i="1"/>
  <c r="O24" i="1"/>
  <c r="O26" i="1"/>
  <c r="F17" i="1"/>
  <c r="C18" i="1" l="1"/>
  <c r="F19" i="1"/>
</calcChain>
</file>

<file path=xl/sharedStrings.xml><?xml version="1.0" encoding="utf-8"?>
<sst xmlns="http://schemas.openxmlformats.org/spreadsheetml/2006/main" count="101" uniqueCount="80">
  <si>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</si>
  <si>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</si>
  <si>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</si>
  <si>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</si>
  <si>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</si>
  <si>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</si>
  <si>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</si>
  <si>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</si>
  <si>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</si>
  <si>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</si>
  <si>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</si>
  <si>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</si>
  <si>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</si>
  <si>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</si>
  <si>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</si>
  <si>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</si>
  <si>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</si>
  <si>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</si>
  <si>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</si>
  <si>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</si>
  <si>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</si>
  <si>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</si>
  <si>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</si>
  <si>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</si>
  <si>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</si>
  <si>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</si>
  <si>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</si>
  <si>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</si>
  <si>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</si>
  <si>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Bull.83</t>
  </si>
  <si>
    <t>B</t>
  </si>
  <si>
    <t># of data points:</t>
  </si>
  <si>
    <t>FO Vul / gsc 2146-3114?</t>
  </si>
  <si>
    <t>EA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</si>
  <si>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</si>
  <si>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</si>
  <si>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</si>
  <si>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</si>
  <si>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</si>
  <si>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</si>
  <si>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</si>
  <si>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6118</t>
  </si>
  <si>
    <t>Add cycle</t>
  </si>
  <si>
    <t>Old Cycle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</si>
  <si>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</si>
  <si>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</si>
  <si>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</si>
  <si>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</si>
  <si>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</si>
  <si>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</si>
  <si>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</si>
  <si>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</si>
  <si>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</si>
  <si>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</si>
  <si>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</si>
  <si>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</si>
  <si>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2453899.4506 </t>
  </si>
  <si>
    <t> 12.06.2006 22:48 </t>
  </si>
  <si>
    <t> -0.0979 </t>
  </si>
  <si>
    <t>C </t>
  </si>
  <si>
    <t>-I</t>
  </si>
  <si>
    <t> F.Agerer </t>
  </si>
  <si>
    <t>BAVM 178 </t>
  </si>
  <si>
    <t>2454339.4561 </t>
  </si>
  <si>
    <t> 26.08.2007 22:56 </t>
  </si>
  <si>
    <t>6817</t>
  </si>
  <si>
    <t> -0.1096 </t>
  </si>
  <si>
    <t>BAVM 193 </t>
  </si>
  <si>
    <t>2455060.4985 </t>
  </si>
  <si>
    <t> 16.08.2009 23:57 </t>
  </si>
  <si>
    <t>7071</t>
  </si>
  <si>
    <t> -0.1275 </t>
  </si>
  <si>
    <t>BAVM 212 </t>
  </si>
  <si>
    <t>2456542.3362 </t>
  </si>
  <si>
    <t> 06.09.2013 20:04 </t>
  </si>
  <si>
    <t>7593</t>
  </si>
  <si>
    <t> -0.1541 </t>
  </si>
  <si>
    <t> P.Frank </t>
  </si>
  <si>
    <t>BAVM 234 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</si>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</sst>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0">
    <xf numFmtId="0" fontId="0" fillId="0" borderId="0" xfId="0" applyAlignment="1"/>
    <xf numFmtId="0" fontId="0" fillId="0" borderId="0" xfId="0">
      <alignment vertical="top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Vul - O-C Diagr.</a:t>
            </a:r>
          </a:p>
        </c:rich>
      </c:tx>
      <c:layout>
        <c:manualLayout>
          <c:xMode val="edge"/>
          <c:yMode val="edge"/>
          <c:x val="0.3471078718465976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85958167167895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4199</c:v>
                </c:pt>
                <c:pt idx="2">
                  <c:v>6662</c:v>
                </c:pt>
                <c:pt idx="3">
                  <c:v>6817</c:v>
                </c:pt>
                <c:pt idx="4">
                  <c:v>7071</c:v>
                </c:pt>
                <c:pt idx="5">
                  <c:v>7593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05-402A-ABA1-7902FF068D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4199</c:v>
                </c:pt>
                <c:pt idx="2">
                  <c:v>6662</c:v>
                </c:pt>
                <c:pt idx="3">
                  <c:v>6817</c:v>
                </c:pt>
                <c:pt idx="4">
                  <c:v>7071</c:v>
                </c:pt>
                <c:pt idx="5">
                  <c:v>7593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-2.7859599991643336E-2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05-402A-ABA1-7902FF068D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4199</c:v>
                </c:pt>
                <c:pt idx="2">
                  <c:v>6662</c:v>
                </c:pt>
                <c:pt idx="3">
                  <c:v>6817</c:v>
                </c:pt>
                <c:pt idx="4">
                  <c:v>7071</c:v>
                </c:pt>
                <c:pt idx="5">
                  <c:v>7593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05-402A-ABA1-7902FF068D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4199</c:v>
                </c:pt>
                <c:pt idx="2">
                  <c:v>6662</c:v>
                </c:pt>
                <c:pt idx="3">
                  <c:v>6817</c:v>
                </c:pt>
                <c:pt idx="4">
                  <c:v>7071</c:v>
                </c:pt>
                <c:pt idx="5">
                  <c:v>7593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-9.7904800000833347E-2</c:v>
                </c:pt>
                <c:pt idx="3">
                  <c:v>-0.10956679999799235</c:v>
                </c:pt>
                <c:pt idx="4">
                  <c:v>-0.12754839999251999</c:v>
                </c:pt>
                <c:pt idx="5">
                  <c:v>-0.15409720000025118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05-402A-ABA1-7902FF068D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4199</c:v>
                </c:pt>
                <c:pt idx="2">
                  <c:v>6662</c:v>
                </c:pt>
                <c:pt idx="3">
                  <c:v>6817</c:v>
                </c:pt>
                <c:pt idx="4">
                  <c:v>7071</c:v>
                </c:pt>
                <c:pt idx="5">
                  <c:v>7593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05-402A-ABA1-7902FF068D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4199</c:v>
                </c:pt>
                <c:pt idx="2">
                  <c:v>6662</c:v>
                </c:pt>
                <c:pt idx="3">
                  <c:v>6817</c:v>
                </c:pt>
                <c:pt idx="4">
                  <c:v>7071</c:v>
                </c:pt>
                <c:pt idx="5">
                  <c:v>7593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05-402A-ABA1-7902FF068D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2E-3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4199</c:v>
                </c:pt>
                <c:pt idx="2">
                  <c:v>6662</c:v>
                </c:pt>
                <c:pt idx="3">
                  <c:v>6817</c:v>
                </c:pt>
                <c:pt idx="4">
                  <c:v>7071</c:v>
                </c:pt>
                <c:pt idx="5">
                  <c:v>7593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05-402A-ABA1-7902FF068D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4199</c:v>
                </c:pt>
                <c:pt idx="2">
                  <c:v>6662</c:v>
                </c:pt>
                <c:pt idx="3">
                  <c:v>6817</c:v>
                </c:pt>
                <c:pt idx="4">
                  <c:v>7071</c:v>
                </c:pt>
                <c:pt idx="5">
                  <c:v>7593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0.12419875684501908</c:v>
                </c:pt>
                <c:pt idx="1">
                  <c:v>-2.3545306079067269E-2</c:v>
                </c:pt>
                <c:pt idx="2">
                  <c:v>-0.110207279639921</c:v>
                </c:pt>
                <c:pt idx="3">
                  <c:v>-0.11566103761878105</c:v>
                </c:pt>
                <c:pt idx="4">
                  <c:v>-0.12459816359704204</c:v>
                </c:pt>
                <c:pt idx="5">
                  <c:v>-0.14296501304842885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05-402A-ABA1-7902FF068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103160"/>
        <c:axId val="1"/>
      </c:scatterChart>
      <c:valAx>
        <c:axId val="745103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103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2000129214617399"/>
          <c:w val="0.9752076961454199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9525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3F3D33C-9DBF-523E-117B-979E1976A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: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18" customFormat="1" ht="20.25" x14ac:dyDescent="0.2">
      <c r="A1" s="49" t="s">
        <v>32</v>
      </c>
    </row>
    <row r="2" spans="1:6" s="18" customFormat="1" ht="12.95" customHeight="1" x14ac:dyDescent="0.2">
      <c r="A2" s="18" t="s">
        <v>24</v>
      </c>
      <c r="B2" s="19" t="s">
        <v>33</v>
      </c>
    </row>
    <row r="3" spans="1:6" s="18" customFormat="1" ht="12.95" customHeight="1" x14ac:dyDescent="0.2"/>
    <row r="4" spans="1:6" s="18" customFormat="1" ht="12.95" customHeight="1" thickTop="1" thickBot="1" x14ac:dyDescent="0.25">
      <c r="A4" s="20" t="s">
        <v>0</v>
      </c>
      <c r="C4" s="21">
        <v>34987.326999999997</v>
      </c>
      <c r="D4" s="22">
        <v>2.8388203999999999</v>
      </c>
    </row>
    <row r="5" spans="1:6" s="18" customFormat="1" ht="12.95" customHeight="1" thickTop="1" x14ac:dyDescent="0.2">
      <c r="A5" s="23" t="s">
        <v>35</v>
      </c>
      <c r="C5" s="24">
        <v>-9.5</v>
      </c>
      <c r="D5" s="18" t="s">
        <v>36</v>
      </c>
    </row>
    <row r="6" spans="1:6" s="18" customFormat="1" ht="12.95" customHeight="1" x14ac:dyDescent="0.2">
      <c r="A6" s="20" t="s">
        <v>1</v>
      </c>
    </row>
    <row r="7" spans="1:6" s="18" customFormat="1" ht="12.95" customHeight="1" x14ac:dyDescent="0.2">
      <c r="A7" s="18" t="s">
        <v>2</v>
      </c>
      <c r="C7" s="18">
        <f>+C4</f>
        <v>34987.326999999997</v>
      </c>
    </row>
    <row r="8" spans="1:6" s="18" customFormat="1" ht="12.95" customHeight="1" x14ac:dyDescent="0.2">
      <c r="A8" s="18" t="s">
        <v>3</v>
      </c>
      <c r="C8" s="18">
        <f>+D4</f>
        <v>2.8388203999999999</v>
      </c>
    </row>
    <row r="9" spans="1:6" s="18" customFormat="1" ht="12.95" customHeight="1" x14ac:dyDescent="0.2">
      <c r="A9" s="25" t="s">
        <v>40</v>
      </c>
      <c r="C9" s="26">
        <v>22</v>
      </c>
      <c r="D9" s="27" t="str">
        <f>"F"&amp;C9</f>
        <v>F22</v>
      </c>
      <c r="E9" s="28" t="str">
        <f>"G"&amp;C9</f>
        <v>G22</v>
      </c>
    </row>
    <row r="10" spans="1:6" s="18" customFormat="1" ht="12.95" customHeight="1" thickBot="1" x14ac:dyDescent="0.25">
      <c r="C10" s="29" t="s">
        <v>20</v>
      </c>
      <c r="D10" s="29" t="s">
        <v>21</v>
      </c>
    </row>
    <row r="11" spans="1:6" s="18" customFormat="1" ht="12.95" customHeight="1" x14ac:dyDescent="0.2">
      <c r="A11" s="18" t="s">
        <v>16</v>
      </c>
      <c r="C11" s="28">
        <f ca="1">INTERCEPT(INDIRECT($E$9):G992,INDIRECT($D$9):F992)</f>
        <v>0.12419875684501908</v>
      </c>
      <c r="D11" s="30"/>
    </row>
    <row r="12" spans="1:6" s="18" customFormat="1" ht="12.95" customHeight="1" x14ac:dyDescent="0.2">
      <c r="A12" s="18" t="s">
        <v>17</v>
      </c>
      <c r="C12" s="28">
        <f ca="1">SLOPE(INDIRECT($E$9):G992,INDIRECT($D$9):F992)</f>
        <v>-3.5185535347484248E-5</v>
      </c>
      <c r="D12" s="30"/>
    </row>
    <row r="13" spans="1:6" s="18" customFormat="1" ht="12.95" customHeight="1" x14ac:dyDescent="0.2">
      <c r="A13" s="18" t="s">
        <v>19</v>
      </c>
      <c r="C13" s="30" t="s">
        <v>14</v>
      </c>
      <c r="D13" s="30"/>
    </row>
    <row r="14" spans="1:6" s="18" customFormat="1" ht="12.95" customHeight="1" x14ac:dyDescent="0.2"/>
    <row r="15" spans="1:6" s="18" customFormat="1" ht="12.95" customHeight="1" x14ac:dyDescent="0.2">
      <c r="A15" s="31" t="s">
        <v>18</v>
      </c>
      <c r="C15" s="32">
        <f ca="1">(C7+C11)+(C8+C12)*INT(MAX(F21:F3533))</f>
        <v>56542.347332186946</v>
      </c>
      <c r="E15" s="33" t="s">
        <v>42</v>
      </c>
      <c r="F15" s="24">
        <v>1</v>
      </c>
    </row>
    <row r="16" spans="1:6" s="18" customFormat="1" ht="12.95" customHeight="1" x14ac:dyDescent="0.2">
      <c r="A16" s="20" t="s">
        <v>4</v>
      </c>
      <c r="C16" s="34">
        <f ca="1">+C8+C12</f>
        <v>2.8387852144646524</v>
      </c>
      <c r="E16" s="33" t="s">
        <v>37</v>
      </c>
      <c r="F16" s="35">
        <f ca="1">NOW()+15018.5+$C$5/24</f>
        <v>60379.639614004627</v>
      </c>
    </row>
    <row r="17" spans="1:31" s="18" customFormat="1" ht="12.95" customHeight="1" thickBot="1" x14ac:dyDescent="0.25">
      <c r="A17" s="33" t="s">
        <v>31</v>
      </c>
      <c r="C17" s="18">
        <f>COUNT(C21:C2191)</f>
        <v>6</v>
      </c>
      <c r="E17" s="33" t="s">
        <v>43</v>
      </c>
      <c r="F17" s="35">
        <f ca="1">ROUND(2*(F16-$C$7)/$C$8,0)/2+F15</f>
        <v>8945.5</v>
      </c>
    </row>
    <row r="18" spans="1:31" s="18" customFormat="1" ht="12.95" customHeight="1" thickTop="1" thickBot="1" x14ac:dyDescent="0.25">
      <c r="A18" s="20" t="s">
        <v>5</v>
      </c>
      <c r="C18" s="21">
        <f ca="1">+C15</f>
        <v>56542.347332186946</v>
      </c>
      <c r="D18" s="22">
        <f ca="1">+C16</f>
        <v>2.8387852144646524</v>
      </c>
      <c r="E18" s="33" t="s">
        <v>38</v>
      </c>
      <c r="F18" s="28">
        <f ca="1">ROUND(2*(F16-$C$15)/$C$16,0)/2+F15</f>
        <v>1352.5</v>
      </c>
    </row>
    <row r="19" spans="1:31" s="18" customFormat="1" ht="12.95" customHeight="1" thickTop="1" x14ac:dyDescent="0.2">
      <c r="E19" s="33" t="s">
        <v>39</v>
      </c>
      <c r="F19" s="36">
        <f ca="1">+$C$15+$C$16*F18-15018.5-$C$5/24</f>
        <v>45363.700168083727</v>
      </c>
    </row>
    <row r="20" spans="1:31" s="18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37" t="s">
        <v>12</v>
      </c>
      <c r="I20" s="37" t="s">
        <v>55</v>
      </c>
      <c r="J20" s="37" t="s">
        <v>79</v>
      </c>
      <c r="K20" s="37" t="s">
        <v>47</v>
      </c>
      <c r="L20" s="37" t="s">
        <v>25</v>
      </c>
      <c r="M20" s="37" t="s">
        <v>26</v>
      </c>
      <c r="N20" s="37" t="s">
        <v>27</v>
      </c>
      <c r="O20" s="37" t="s">
        <v>23</v>
      </c>
      <c r="P20" s="38" t="s">
        <v>22</v>
      </c>
      <c r="Q20" s="29" t="s">
        <v>15</v>
      </c>
    </row>
    <row r="21" spans="1:31" s="18" customFormat="1" ht="12.95" customHeight="1" x14ac:dyDescent="0.2">
      <c r="A21" s="18" t="s">
        <v>12</v>
      </c>
      <c r="C21" s="39">
        <v>34987.326999999997</v>
      </c>
      <c r="D21" s="39" t="s">
        <v>14</v>
      </c>
      <c r="E21" s="18">
        <f t="shared" ref="E21:E26" si="0">+(C21-C$7)/C$8</f>
        <v>0</v>
      </c>
      <c r="F21" s="18">
        <f t="shared" ref="F21:F26" si="1">ROUND(2*E21,0)/2</f>
        <v>0</v>
      </c>
      <c r="H21" s="18">
        <v>0</v>
      </c>
      <c r="O21" s="18">
        <f t="shared" ref="O21:O26" ca="1" si="2">+C$11+C$12*$F21</f>
        <v>0.12419875684501908</v>
      </c>
      <c r="Q21" s="40">
        <f t="shared" ref="Q21:Q26" si="3">+C21-15018.5</f>
        <v>19968.826999999997</v>
      </c>
    </row>
    <row r="22" spans="1:31" s="18" customFormat="1" ht="12.95" customHeight="1" x14ac:dyDescent="0.2">
      <c r="A22" s="18" t="s">
        <v>29</v>
      </c>
      <c r="C22" s="39">
        <v>46907.506000000001</v>
      </c>
      <c r="D22" s="39"/>
      <c r="E22" s="18">
        <f t="shared" si="0"/>
        <v>4198.9901862055112</v>
      </c>
      <c r="F22" s="18">
        <f t="shared" si="1"/>
        <v>4199</v>
      </c>
      <c r="G22" s="18">
        <f>+C22-(C$7+F22*C$8)</f>
        <v>-2.7859599991643336E-2</v>
      </c>
      <c r="I22" s="18">
        <f>+G22</f>
        <v>-2.7859599991643336E-2</v>
      </c>
      <c r="O22" s="18">
        <f t="shared" ca="1" si="2"/>
        <v>-2.3545306079067269E-2</v>
      </c>
      <c r="Q22" s="40">
        <f t="shared" si="3"/>
        <v>31889.006000000001</v>
      </c>
      <c r="AB22" s="18">
        <v>5</v>
      </c>
      <c r="AC22" s="18" t="s">
        <v>28</v>
      </c>
      <c r="AE22" s="18" t="s">
        <v>30</v>
      </c>
    </row>
    <row r="23" spans="1:31" s="18" customFormat="1" ht="12.95" customHeight="1" x14ac:dyDescent="0.2">
      <c r="A23" s="18" t="s">
        <v>34</v>
      </c>
      <c r="B23" s="41"/>
      <c r="C23" s="39">
        <v>53899.450599999996</v>
      </c>
      <c r="D23" s="39">
        <v>2E-3</v>
      </c>
      <c r="E23" s="18">
        <f t="shared" si="0"/>
        <v>6661.9655121542737</v>
      </c>
      <c r="F23" s="18">
        <f t="shared" si="1"/>
        <v>6662</v>
      </c>
      <c r="G23" s="18">
        <f>+C23-(C$7+F23*C$8)</f>
        <v>-9.7904800000833347E-2</v>
      </c>
      <c r="K23" s="18">
        <f>+G23</f>
        <v>-9.7904800000833347E-2</v>
      </c>
      <c r="O23" s="18">
        <f t="shared" ca="1" si="2"/>
        <v>-0.110207279639921</v>
      </c>
      <c r="Q23" s="40">
        <f t="shared" si="3"/>
        <v>38880.950599999996</v>
      </c>
    </row>
    <row r="24" spans="1:31" s="18" customFormat="1" ht="12.95" customHeight="1" x14ac:dyDescent="0.2">
      <c r="A24" s="42" t="s">
        <v>67</v>
      </c>
      <c r="B24" s="43" t="s">
        <v>44</v>
      </c>
      <c r="C24" s="44">
        <v>54339.456100000003</v>
      </c>
      <c r="D24" s="39"/>
      <c r="E24" s="18">
        <f t="shared" si="0"/>
        <v>6816.961404109963</v>
      </c>
      <c r="F24" s="18">
        <f t="shared" si="1"/>
        <v>6817</v>
      </c>
      <c r="G24" s="18">
        <f>+C24-(C$7+F24*C$8)</f>
        <v>-0.10956679999799235</v>
      </c>
      <c r="K24" s="18">
        <f>+G24</f>
        <v>-0.10956679999799235</v>
      </c>
      <c r="O24" s="18">
        <f t="shared" ca="1" si="2"/>
        <v>-0.11566103761878105</v>
      </c>
      <c r="Q24" s="40">
        <f t="shared" si="3"/>
        <v>39320.956100000003</v>
      </c>
    </row>
    <row r="25" spans="1:31" s="18" customFormat="1" ht="12.95" customHeight="1" x14ac:dyDescent="0.2">
      <c r="A25" s="42" t="s">
        <v>72</v>
      </c>
      <c r="B25" s="43" t="s">
        <v>44</v>
      </c>
      <c r="C25" s="44">
        <v>55060.498500000002</v>
      </c>
      <c r="D25" s="39"/>
      <c r="E25" s="18">
        <f t="shared" si="0"/>
        <v>7070.9550699297515</v>
      </c>
      <c r="F25" s="18">
        <f t="shared" si="1"/>
        <v>7071</v>
      </c>
      <c r="G25" s="18">
        <f>+C25-(C$7+F25*C$8)</f>
        <v>-0.12754839999251999</v>
      </c>
      <c r="K25" s="18">
        <f>+G25</f>
        <v>-0.12754839999251999</v>
      </c>
      <c r="O25" s="18">
        <f t="shared" ca="1" si="2"/>
        <v>-0.12459816359704204</v>
      </c>
      <c r="Q25" s="40">
        <f t="shared" si="3"/>
        <v>40041.998500000002</v>
      </c>
    </row>
    <row r="26" spans="1:31" s="18" customFormat="1" ht="12.95" customHeight="1" x14ac:dyDescent="0.2">
      <c r="A26" s="45" t="s">
        <v>41</v>
      </c>
      <c r="B26" s="46" t="s">
        <v>44</v>
      </c>
      <c r="C26" s="47">
        <v>56542.336199999998</v>
      </c>
      <c r="D26" s="48">
        <v>4.0000000000000002E-4</v>
      </c>
      <c r="E26" s="18">
        <f t="shared" si="0"/>
        <v>7592.9457178763405</v>
      </c>
      <c r="F26" s="18">
        <f t="shared" si="1"/>
        <v>7593</v>
      </c>
      <c r="G26" s="18">
        <f>+C26-(C$7+F26*C$8)</f>
        <v>-0.15409720000025118</v>
      </c>
      <c r="K26" s="18">
        <f>+G26</f>
        <v>-0.15409720000025118</v>
      </c>
      <c r="O26" s="18">
        <f t="shared" ca="1" si="2"/>
        <v>-0.14296501304842885</v>
      </c>
      <c r="Q26" s="40">
        <f t="shared" si="3"/>
        <v>41523.836199999998</v>
      </c>
    </row>
    <row r="27" spans="1:31" s="18" customFormat="1" ht="12.95" customHeight="1" x14ac:dyDescent="0.2">
      <c r="B27" s="30"/>
      <c r="C27" s="39"/>
      <c r="D27" s="39"/>
      <c r="Q27" s="40"/>
    </row>
    <row r="28" spans="1:31" s="18" customFormat="1" ht="12.95" customHeight="1" x14ac:dyDescent="0.2">
      <c r="C28" s="39"/>
      <c r="D28" s="39"/>
    </row>
    <row r="29" spans="1:31" s="18" customFormat="1" ht="12.95" customHeight="1" x14ac:dyDescent="0.2">
      <c r="C29" s="39"/>
      <c r="D29" s="39"/>
    </row>
    <row r="30" spans="1:31" s="18" customFormat="1" ht="12.95" customHeight="1" x14ac:dyDescent="0.2">
      <c r="C30" s="39"/>
      <c r="D30" s="39"/>
    </row>
    <row r="31" spans="1:31" s="18" customFormat="1" ht="12.95" customHeight="1" x14ac:dyDescent="0.2">
      <c r="C31" s="39"/>
      <c r="D31" s="39"/>
    </row>
    <row r="32" spans="1:31" s="18" customFormat="1" ht="12.95" customHeight="1" x14ac:dyDescent="0.2">
      <c r="C32" s="39"/>
      <c r="D32" s="39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6"/>
  <sheetViews>
    <sheetView workbookViewId="0">
      <selection activeCell="A13" sqref="A13:C14"/>
    </sheetView>
  </sheetViews>
  <sheetFormatPr defaultRowHeight="12.75" x14ac:dyDescent="0.2"/>
  <cols>
    <col min="1" max="1" width="19.7109375" style="5" customWidth="1"/>
    <col min="2" max="2" width="4.42578125" style="1" customWidth="1"/>
    <col min="3" max="3" width="12.7109375" style="5" customWidth="1"/>
    <col min="4" max="4" width="5.42578125" style="1" customWidth="1"/>
    <col min="5" max="5" width="14.85546875" style="1" customWidth="1"/>
    <col min="6" max="6" width="9.140625" style="1"/>
    <col min="7" max="7" width="12" style="1" customWidth="1"/>
    <col min="8" max="8" width="14.140625" style="5" customWidth="1"/>
    <col min="9" max="9" width="22.5703125" style="1" customWidth="1"/>
    <col min="10" max="10" width="25.140625" style="1" customWidth="1"/>
    <col min="11" max="11" width="15.7109375" style="1" customWidth="1"/>
    <col min="12" max="12" width="14.140625" style="1" customWidth="1"/>
    <col min="13" max="13" width="9.5703125" style="1" customWidth="1"/>
    <col min="14" max="14" width="14.140625" style="1" customWidth="1"/>
    <col min="15" max="15" width="23.42578125" style="1" customWidth="1"/>
    <col min="16" max="16" width="16.5703125" style="1" customWidth="1"/>
    <col min="17" max="17" width="41" style="1" customWidth="1"/>
    <col min="18" max="16384" width="9.140625" style="1"/>
  </cols>
  <sheetData>
    <row r="1" spans="1:16" ht="15.75" x14ac:dyDescent="0.25">
      <c r="A1" s="4" t="s">
        <v>45</v>
      </c>
      <c r="I1" s="6" t="s">
        <v>46</v>
      </c>
      <c r="J1" s="7" t="s">
        <v>47</v>
      </c>
    </row>
    <row r="2" spans="1:16" x14ac:dyDescent="0.2">
      <c r="I2" s="8" t="s">
        <v>48</v>
      </c>
      <c r="J2" s="9" t="s">
        <v>49</v>
      </c>
    </row>
    <row r="3" spans="1:16" x14ac:dyDescent="0.2">
      <c r="A3" s="10" t="s">
        <v>50</v>
      </c>
      <c r="I3" s="8" t="s">
        <v>51</v>
      </c>
      <c r="J3" s="9" t="s">
        <v>52</v>
      </c>
    </row>
    <row r="4" spans="1:16" x14ac:dyDescent="0.2">
      <c r="I4" s="8" t="s">
        <v>53</v>
      </c>
      <c r="J4" s="9" t="s">
        <v>52</v>
      </c>
    </row>
    <row r="5" spans="1:16" ht="13.5" thickBot="1" x14ac:dyDescent="0.25">
      <c r="I5" s="11" t="s">
        <v>54</v>
      </c>
      <c r="J5" s="12" t="s">
        <v>55</v>
      </c>
    </row>
    <row r="10" spans="1:16" ht="13.5" thickBot="1" x14ac:dyDescent="0.25"/>
    <row r="11" spans="1:16" ht="12.75" customHeight="1" thickBot="1" x14ac:dyDescent="0.25">
      <c r="A11" s="5" t="str">
        <f>P11</f>
        <v>BAVM 178 </v>
      </c>
      <c r="B11" s="3" t="str">
        <f>IF(H11=INT(H11),"I","II")</f>
        <v>I</v>
      </c>
      <c r="C11" s="5">
        <f>1*G11</f>
        <v>53899.450599999996</v>
      </c>
      <c r="D11" s="1" t="str">
        <f>VLOOKUP(F11,I$1:J$5,2,FALSE)</f>
        <v>vis</v>
      </c>
      <c r="E11" s="13">
        <f>VLOOKUP(C11,Active!C$21:E$973,3,FALSE)</f>
        <v>6661.9655121542737</v>
      </c>
      <c r="F11" s="3" t="s">
        <v>54</v>
      </c>
      <c r="G11" s="1" t="str">
        <f>MID(I11,3,LEN(I11)-3)</f>
        <v>53899.4506</v>
      </c>
      <c r="H11" s="5">
        <f>1*K11</f>
        <v>6662</v>
      </c>
      <c r="I11" s="14" t="s">
        <v>56</v>
      </c>
      <c r="J11" s="15" t="s">
        <v>57</v>
      </c>
      <c r="K11" s="14">
        <v>6662</v>
      </c>
      <c r="L11" s="14" t="s">
        <v>58</v>
      </c>
      <c r="M11" s="15" t="s">
        <v>59</v>
      </c>
      <c r="N11" s="15" t="s">
        <v>60</v>
      </c>
      <c r="O11" s="16" t="s">
        <v>61</v>
      </c>
      <c r="P11" s="17" t="s">
        <v>62</v>
      </c>
    </row>
    <row r="12" spans="1:16" ht="12.75" customHeight="1" thickBot="1" x14ac:dyDescent="0.25">
      <c r="A12" s="5" t="str">
        <f>P12</f>
        <v>BAVM 234 </v>
      </c>
      <c r="B12" s="3" t="str">
        <f>IF(H12=INT(H12),"I","II")</f>
        <v>I</v>
      </c>
      <c r="C12" s="5">
        <f>1*G12</f>
        <v>56542.336199999998</v>
      </c>
      <c r="D12" s="1" t="str">
        <f>VLOOKUP(F12,I$1:J$5,2,FALSE)</f>
        <v>vis</v>
      </c>
      <c r="E12" s="13">
        <f>VLOOKUP(C12,Active!C$21:E$973,3,FALSE)</f>
        <v>7592.9457178763405</v>
      </c>
      <c r="F12" s="3" t="s">
        <v>54</v>
      </c>
      <c r="G12" s="1" t="str">
        <f>MID(I12,3,LEN(I12)-3)</f>
        <v>56542.3362</v>
      </c>
      <c r="H12" s="5">
        <f>1*K12</f>
        <v>7593</v>
      </c>
      <c r="I12" s="14" t="s">
        <v>73</v>
      </c>
      <c r="J12" s="15" t="s">
        <v>74</v>
      </c>
      <c r="K12" s="14" t="s">
        <v>75</v>
      </c>
      <c r="L12" s="14" t="s">
        <v>76</v>
      </c>
      <c r="M12" s="15" t="s">
        <v>59</v>
      </c>
      <c r="N12" s="15" t="s">
        <v>60</v>
      </c>
      <c r="O12" s="16" t="s">
        <v>77</v>
      </c>
      <c r="P12" s="17" t="s">
        <v>78</v>
      </c>
    </row>
    <row r="13" spans="1:16" ht="12.75" customHeight="1" thickBot="1" x14ac:dyDescent="0.25">
      <c r="A13" s="5" t="str">
        <f>P13</f>
        <v>BAVM 193 </v>
      </c>
      <c r="B13" s="3" t="str">
        <f>IF(H13=INT(H13),"I","II")</f>
        <v>I</v>
      </c>
      <c r="C13" s="5">
        <f>1*G13</f>
        <v>54339.456100000003</v>
      </c>
      <c r="D13" s="1" t="str">
        <f>VLOOKUP(F13,I$1:J$5,2,FALSE)</f>
        <v>vis</v>
      </c>
      <c r="E13" s="13">
        <f>VLOOKUP(C13,Active!C$21:E$973,3,FALSE)</f>
        <v>6816.961404109963</v>
      </c>
      <c r="F13" s="3" t="s">
        <v>54</v>
      </c>
      <c r="G13" s="1" t="str">
        <f>MID(I13,3,LEN(I13)-3)</f>
        <v>54339.4561</v>
      </c>
      <c r="H13" s="5">
        <f>1*K13</f>
        <v>6817</v>
      </c>
      <c r="I13" s="14" t="s">
        <v>63</v>
      </c>
      <c r="J13" s="15" t="s">
        <v>64</v>
      </c>
      <c r="K13" s="14" t="s">
        <v>65</v>
      </c>
      <c r="L13" s="14" t="s">
        <v>66</v>
      </c>
      <c r="M13" s="15" t="s">
        <v>59</v>
      </c>
      <c r="N13" s="15" t="s">
        <v>60</v>
      </c>
      <c r="O13" s="16" t="s">
        <v>61</v>
      </c>
      <c r="P13" s="17" t="s">
        <v>67</v>
      </c>
    </row>
    <row r="14" spans="1:16" ht="12.75" customHeight="1" thickBot="1" x14ac:dyDescent="0.25">
      <c r="A14" s="5" t="str">
        <f>P14</f>
        <v>BAVM 212 </v>
      </c>
      <c r="B14" s="3" t="str">
        <f>IF(H14=INT(H14),"I","II")</f>
        <v>I</v>
      </c>
      <c r="C14" s="5">
        <f>1*G14</f>
        <v>55060.498500000002</v>
      </c>
      <c r="D14" s="1" t="str">
        <f>VLOOKUP(F14,I$1:J$5,2,FALSE)</f>
        <v>vis</v>
      </c>
      <c r="E14" s="13">
        <f>VLOOKUP(C14,Active!C$21:E$973,3,FALSE)</f>
        <v>7070.9550699297515</v>
      </c>
      <c r="F14" s="3" t="s">
        <v>54</v>
      </c>
      <c r="G14" s="1" t="str">
        <f>MID(I14,3,LEN(I14)-3)</f>
        <v>55060.4985</v>
      </c>
      <c r="H14" s="5">
        <f>1*K14</f>
        <v>7071</v>
      </c>
      <c r="I14" s="14" t="s">
        <v>68</v>
      </c>
      <c r="J14" s="15" t="s">
        <v>69</v>
      </c>
      <c r="K14" s="14" t="s">
        <v>70</v>
      </c>
      <c r="L14" s="14" t="s">
        <v>71</v>
      </c>
      <c r="M14" s="15" t="s">
        <v>59</v>
      </c>
      <c r="N14" s="15" t="s">
        <v>60</v>
      </c>
      <c r="O14" s="16" t="s">
        <v>61</v>
      </c>
      <c r="P14" s="17" t="s">
        <v>72</v>
      </c>
    </row>
    <row r="15" spans="1:16" x14ac:dyDescent="0.2">
      <c r="B15" s="3"/>
      <c r="E15" s="13"/>
      <c r="F15" s="3"/>
    </row>
    <row r="16" spans="1:16" x14ac:dyDescent="0.2">
      <c r="B16" s="3"/>
      <c r="E16" s="13"/>
      <c r="F16" s="3"/>
    </row>
    <row r="17" spans="2:6" x14ac:dyDescent="0.2">
      <c r="B17" s="3"/>
      <c r="E17" s="13"/>
      <c r="F17" s="3"/>
    </row>
    <row r="18" spans="2:6" x14ac:dyDescent="0.2">
      <c r="B18" s="3"/>
      <c r="E18" s="13"/>
      <c r="F18" s="3"/>
    </row>
    <row r="19" spans="2:6" x14ac:dyDescent="0.2">
      <c r="B19" s="3"/>
      <c r="E19" s="13"/>
      <c r="F19" s="3"/>
    </row>
    <row r="20" spans="2:6" x14ac:dyDescent="0.2">
      <c r="B20" s="3"/>
      <c r="E20" s="13"/>
      <c r="F20" s="3"/>
    </row>
    <row r="21" spans="2:6" x14ac:dyDescent="0.2">
      <c r="B21" s="3"/>
      <c r="E21" s="13"/>
      <c r="F21" s="3"/>
    </row>
    <row r="22" spans="2:6" x14ac:dyDescent="0.2">
      <c r="B22" s="3"/>
      <c r="E22" s="13"/>
      <c r="F22" s="3"/>
    </row>
    <row r="23" spans="2:6" x14ac:dyDescent="0.2">
      <c r="B23" s="3"/>
      <c r="E23" s="13"/>
      <c r="F23" s="3"/>
    </row>
    <row r="24" spans="2:6" x14ac:dyDescent="0.2">
      <c r="B24" s="3"/>
      <c r="E24" s="13"/>
      <c r="F24" s="3"/>
    </row>
    <row r="25" spans="2:6" x14ac:dyDescent="0.2">
      <c r="B25" s="3"/>
      <c r="E25" s="13"/>
      <c r="F25" s="3"/>
    </row>
    <row r="26" spans="2:6" x14ac:dyDescent="0.2">
      <c r="B26" s="3"/>
      <c r="E26" s="13"/>
      <c r="F26" s="3"/>
    </row>
    <row r="27" spans="2:6" x14ac:dyDescent="0.2">
      <c r="B27" s="3"/>
      <c r="E27" s="13"/>
      <c r="F27" s="3"/>
    </row>
    <row r="28" spans="2:6" x14ac:dyDescent="0.2">
      <c r="B28" s="3"/>
      <c r="E28" s="1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</sheetData>
  <phoneticPr fontId="7" type="noConversion"/>
  <hyperlinks>
    <hyperlink ref="P11" r:id="rId1" display="http://www.bav-astro.de/sfs/BAVM_link.php?BAVMnr=178"/>
    <hyperlink ref="P13" r:id="rId2" display="http://www.bav-astro.de/sfs/BAVM_link.php?BAVMnr=193"/>
    <hyperlink ref="P14" r:id="rId3" display="http://www.bav-astro.de/sfs/BAVM_link.php?BAVMnr=212"/>
    <hyperlink ref="P12" r:id="rId4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2024-03-10T02:21:02Z</dcterms:modified>
</cp:coreProperties>
</file>