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38E9FD2-7645-4820-B75F-B45A36FD51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3" i="1"/>
  <c r="Q21" i="1"/>
  <c r="Q22" i="1"/>
  <c r="Q23" i="1"/>
  <c r="Q25" i="1"/>
  <c r="Q26" i="1"/>
  <c r="Q27" i="1"/>
  <c r="Q28" i="1"/>
  <c r="G14" i="2"/>
  <c r="C14" i="2"/>
  <c r="G13" i="2"/>
  <c r="C13" i="2"/>
  <c r="G12" i="2"/>
  <c r="C12" i="2"/>
  <c r="G11" i="2"/>
  <c r="C11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1" i="1"/>
  <c r="Q32" i="1"/>
  <c r="F16" i="1"/>
  <c r="Q30" i="1"/>
  <c r="Q29" i="1"/>
  <c r="C7" i="1"/>
  <c r="E33" i="1"/>
  <c r="F33" i="1"/>
  <c r="C8" i="1"/>
  <c r="E21" i="2"/>
  <c r="E21" i="1"/>
  <c r="F21" i="1"/>
  <c r="C24" i="1"/>
  <c r="E12" i="2"/>
  <c r="E26" i="1"/>
  <c r="F26" i="1"/>
  <c r="G31" i="1"/>
  <c r="J31" i="1"/>
  <c r="E25" i="1"/>
  <c r="F25" i="1"/>
  <c r="E31" i="1"/>
  <c r="F31" i="1"/>
  <c r="G25" i="1"/>
  <c r="H25" i="1"/>
  <c r="E23" i="1"/>
  <c r="F23" i="1"/>
  <c r="G23" i="1"/>
  <c r="H23" i="1"/>
  <c r="E28" i="1"/>
  <c r="F28" i="1"/>
  <c r="G28" i="1"/>
  <c r="H28" i="1"/>
  <c r="E22" i="1"/>
  <c r="F22" i="1"/>
  <c r="G22" i="1"/>
  <c r="E30" i="1"/>
  <c r="F30" i="1"/>
  <c r="G30" i="1"/>
  <c r="J30" i="1"/>
  <c r="G33" i="1"/>
  <c r="K33" i="1"/>
  <c r="E29" i="1"/>
  <c r="F29" i="1"/>
  <c r="G29" i="1"/>
  <c r="K29" i="1"/>
  <c r="G21" i="1"/>
  <c r="H21" i="1"/>
  <c r="E27" i="1"/>
  <c r="F27" i="1"/>
  <c r="G27" i="1"/>
  <c r="H27" i="1"/>
  <c r="E32" i="1"/>
  <c r="F32" i="1"/>
  <c r="G32" i="1"/>
  <c r="J32" i="1"/>
  <c r="G26" i="1"/>
  <c r="H26" i="1"/>
  <c r="H22" i="1"/>
  <c r="E11" i="2"/>
  <c r="E20" i="2"/>
  <c r="E15" i="2"/>
  <c r="E16" i="2"/>
  <c r="E13" i="2"/>
  <c r="E18" i="2"/>
  <c r="E14" i="2"/>
  <c r="Q24" i="1"/>
  <c r="E24" i="1"/>
  <c r="F24" i="1"/>
  <c r="G24" i="1"/>
  <c r="C17" i="1"/>
  <c r="E19" i="2"/>
  <c r="E17" i="2"/>
  <c r="H24" i="1"/>
  <c r="C12" i="1"/>
  <c r="C11" i="1"/>
  <c r="O22" i="1" l="1"/>
  <c r="O25" i="1"/>
  <c r="O33" i="1"/>
  <c r="O24" i="1"/>
  <c r="O31" i="1"/>
  <c r="O30" i="1"/>
  <c r="O21" i="1"/>
  <c r="O26" i="1"/>
  <c r="O29" i="1"/>
  <c r="C15" i="1"/>
  <c r="F18" i="1" s="1"/>
  <c r="O28" i="1"/>
  <c r="O32" i="1"/>
  <c r="O23" i="1"/>
  <c r="O27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<sst xmlns="http://schemas.openxmlformats.org/spreadsheetml/2006/main" count="162" uniqueCount="103">
  <si>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</si>
  <si>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</si>
  <si>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</si>
  <si>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</si>
  <si>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</si>
  <si>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</si>
  <si>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</si>
  <si>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</si>
  <si>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</si>
  <si>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</si>
  <si>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</si>
  <si>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</si>
  <si>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</si>
  <si>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</si>
  <si>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</si>
  <si>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</si>
  <si>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</si>
  <si>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</si>
  <si>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</si>
  <si>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</si>
  <si>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</si>
  <si>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</si>
  <si>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</si>
  <si>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</si>
  <si>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</si>
  <si>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</si>
  <si>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</si>
  <si>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</si>
  <si>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EA/DM</t>
  </si>
  <si>
    <t>IBVS 5583</t>
  </si>
  <si>
    <t>I</t>
  </si>
  <si>
    <t># of data points:</t>
  </si>
  <si>
    <t>FW Vul / GSC 02147-01068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</si>
  <si>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</si>
  <si>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</si>
  <si>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</si>
  <si>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</si>
  <si>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</si>
  <si>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</si>
  <si>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</si>
  <si>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</si>
  <si>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</si>
  <si>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</si>
  <si>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</si>
  <si>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</si>
  <si>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</si>
  <si>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</si>
  <si>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</si>
  <si>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</si>
  <si>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</si>
  <si>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</si>
  <si>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</si>
  <si>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</si>
  <si>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</si>
  <si>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</si>
  <si>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2432764.475 </t>
  </si>
  <si>
    <t> 31.07.1948 23:24 </t>
  </si>
  <si>
    <t> 0.012 </t>
  </si>
  <si>
    <t>P </t>
  </si>
  <si>
    <t> A.A.Wachmann </t>
  </si>
  <si>
    <t> AHSB 6.3.46 </t>
  </si>
  <si>
    <t>2433538.420 </t>
  </si>
  <si>
    <t> 13.09.1950 22:04 </t>
  </si>
  <si>
    <t> -0.014 </t>
  </si>
  <si>
    <t>2433891.456 </t>
  </si>
  <si>
    <t> 01.09.1951 22:56 </t>
  </si>
  <si>
    <t> -0.017 </t>
  </si>
  <si>
    <t>2434706.190 </t>
  </si>
  <si>
    <t> 24.11.1953 16:33 </t>
  </si>
  <si>
    <t> 0.010 </t>
  </si>
  <si>
    <t>2435009.445 </t>
  </si>
  <si>
    <t> 23.09.1954 22:40 </t>
  </si>
  <si>
    <t> 0.013 </t>
  </si>
  <si>
    <t>2435371.500 </t>
  </si>
  <si>
    <t> 21.09.1955 00:00 </t>
  </si>
  <si>
    <t> -0.024 </t>
  </si>
  <si>
    <t>2436815.375 </t>
  </si>
  <si>
    <t> 03.09.1959 21:00 </t>
  </si>
  <si>
    <t>2453186.4439 </t>
  </si>
  <si>
    <t> 29.06.2004 22:39 </t>
  </si>
  <si>
    <t> 0.0016 </t>
  </si>
  <si>
    <t>E </t>
  </si>
  <si>
    <t>R</t>
  </si>
  <si>
    <t> M.Zejda </t>
  </si>
  <si>
    <t>IBVS 5583 </t>
  </si>
  <si>
    <t>2453650.3555 </t>
  </si>
  <si>
    <t> 06.10.2005 20:31 </t>
  </si>
  <si>
    <t> -0.0170 </t>
  </si>
  <si>
    <t>C </t>
  </si>
  <si>
    <t>-I</t>
  </si>
  <si>
    <t> Agerer </t>
  </si>
  <si>
    <t>BAVM 178 </t>
  </si>
  <si>
    <t>2455707.4975 </t>
  </si>
  <si>
    <t> 25.05.2011 23:56 </t>
  </si>
  <si>
    <t>4640</t>
  </si>
  <si>
    <t> -0.0092 </t>
  </si>
  <si>
    <t> F.Agerer </t>
  </si>
  <si>
    <t>BAVM 220 </t>
  </si>
  <si>
    <t>2455741.4251 </t>
  </si>
  <si>
    <t> 28.06.2011 22:12 </t>
  </si>
  <si>
    <t>4647.5</t>
  </si>
  <si>
    <t> -0.0277 </t>
  </si>
  <si>
    <t>IBVS 6193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</si>
</sst>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Vul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1.249199999801931E-2</c:v>
                </c:pt>
                <c:pt idx="1">
                  <c:v>-1.3815999998769257E-2</c:v>
                </c:pt>
                <c:pt idx="2">
                  <c:v>-1.7360000005282927E-2</c:v>
                </c:pt>
                <c:pt idx="3">
                  <c:v>0</c:v>
                </c:pt>
                <c:pt idx="4">
                  <c:v>1.0000000002037268E-2</c:v>
                </c:pt>
                <c:pt idx="5">
                  <c:v>1.3083999998343643E-2</c:v>
                </c:pt>
                <c:pt idx="6">
                  <c:v>-2.3756000002322253E-2</c:v>
                </c:pt>
                <c:pt idx="7">
                  <c:v>1.0031999998318497E-2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9E-433C-888C-49AFCD228F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9E-433C-888C-49AFCD228F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-1.6953999998804647E-2</c:v>
                </c:pt>
                <c:pt idx="10">
                  <c:v>-9.2200000071898103E-3</c:v>
                </c:pt>
                <c:pt idx="11">
                  <c:v>-2.7730000001611188E-2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9E-433C-888C-49AFCD228F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1.6159999941010028E-3</c:v>
                </c:pt>
                <c:pt idx="12">
                  <c:v>-2.2526000000652857E-2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9E-433C-888C-49AFCD228F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9E-433C-888C-49AFCD228F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9E-433C-888C-49AFCD228F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8">
                    <c:v>4.1000000000000003E-3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1.01E-2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9E-433C-888C-49AFCD228F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-429</c:v>
                </c:pt>
                <c:pt idx="1">
                  <c:v>-258</c:v>
                </c:pt>
                <c:pt idx="2">
                  <c:v>-180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147</c:v>
                </c:pt>
                <c:pt idx="7">
                  <c:v>466</c:v>
                </c:pt>
                <c:pt idx="8">
                  <c:v>4083</c:v>
                </c:pt>
                <c:pt idx="9">
                  <c:v>4185.5</c:v>
                </c:pt>
                <c:pt idx="10">
                  <c:v>4640</c:v>
                </c:pt>
                <c:pt idx="11">
                  <c:v>4647.5</c:v>
                </c:pt>
                <c:pt idx="12">
                  <c:v>4974.5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-1.9222821728835154E-3</c:v>
                </c:pt>
                <c:pt idx="1">
                  <c:v>-2.3728187673204486E-3</c:v>
                </c:pt>
                <c:pt idx="2">
                  <c:v>-2.5783266875899265E-3</c:v>
                </c:pt>
                <c:pt idx="3">
                  <c:v>-3.0525757343656456E-3</c:v>
                </c:pt>
                <c:pt idx="4">
                  <c:v>-3.0525757343656456E-3</c:v>
                </c:pt>
                <c:pt idx="5">
                  <c:v>-3.2291017684432741E-3</c:v>
                </c:pt>
                <c:pt idx="6">
                  <c:v>-3.4398791225658163E-3</c:v>
                </c:pt>
                <c:pt idx="7">
                  <c:v>-4.280353822129452E-3</c:v>
                </c:pt>
                <c:pt idx="8">
                  <c:v>-1.381012494539487E-2</c:v>
                </c:pt>
                <c:pt idx="9">
                  <c:v>-1.4080183430364379E-2</c:v>
                </c:pt>
                <c:pt idx="10">
                  <c:v>-1.5277662273473068E-2</c:v>
                </c:pt>
                <c:pt idx="11">
                  <c:v>-1.5297422650422058E-2</c:v>
                </c:pt>
                <c:pt idx="12">
                  <c:v>-1.6158975085397945E-2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9E-433C-888C-49AFCD228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15400"/>
        <c:axId val="1"/>
      </c:scatterChart>
      <c:valAx>
        <c:axId val="74511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1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285750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23AA11-D5E6-F94F-77C9-F17FEA06C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6" customFormat="1" ht="20.25" x14ac:dyDescent="0.2">
      <c r="A1" s="53" t="s">
        <v>32</v>
      </c>
    </row>
    <row r="2" spans="1:6" s="26" customFormat="1" ht="12.95" customHeight="1" x14ac:dyDescent="0.2">
      <c r="A2" s="26" t="s">
        <v>24</v>
      </c>
      <c r="B2" s="26" t="s">
        <v>28</v>
      </c>
    </row>
    <row r="3" spans="1:6" s="26" customFormat="1" ht="12.95" customHeight="1" thickBot="1" x14ac:dyDescent="0.25"/>
    <row r="4" spans="1:6" s="26" customFormat="1" ht="12.95" customHeight="1" thickTop="1" thickBot="1" x14ac:dyDescent="0.25">
      <c r="A4" s="27" t="s">
        <v>0</v>
      </c>
      <c r="C4" s="28">
        <v>34706.18</v>
      </c>
      <c r="D4" s="29">
        <v>4.5261480000000001</v>
      </c>
    </row>
    <row r="5" spans="1:6" s="26" customFormat="1" ht="12.95" customHeight="1" thickTop="1" x14ac:dyDescent="0.2">
      <c r="A5" s="30" t="s">
        <v>34</v>
      </c>
      <c r="C5" s="31">
        <v>-9.5</v>
      </c>
      <c r="D5" s="26" t="s">
        <v>35</v>
      </c>
    </row>
    <row r="6" spans="1:6" s="26" customFormat="1" ht="12.95" customHeight="1" x14ac:dyDescent="0.2">
      <c r="A6" s="27" t="s">
        <v>1</v>
      </c>
    </row>
    <row r="7" spans="1:6" s="26" customFormat="1" ht="12.95" customHeight="1" x14ac:dyDescent="0.2">
      <c r="A7" s="26" t="s">
        <v>2</v>
      </c>
      <c r="C7" s="26">
        <f>+C4</f>
        <v>34706.18</v>
      </c>
    </row>
    <row r="8" spans="1:6" s="26" customFormat="1" ht="12.95" customHeight="1" x14ac:dyDescent="0.2">
      <c r="A8" s="26" t="s">
        <v>3</v>
      </c>
      <c r="C8" s="26">
        <f>+D4</f>
        <v>4.5261480000000001</v>
      </c>
    </row>
    <row r="9" spans="1:6" s="26" customFormat="1" ht="12.95" customHeight="1" x14ac:dyDescent="0.2">
      <c r="A9" s="32" t="s">
        <v>39</v>
      </c>
      <c r="B9" s="33">
        <v>22</v>
      </c>
      <c r="C9" s="34" t="str">
        <f>"F"&amp;B9</f>
        <v>F22</v>
      </c>
      <c r="D9" s="35" t="str">
        <f>"G"&amp;B9</f>
        <v>G22</v>
      </c>
    </row>
    <row r="10" spans="1:6" s="26" customFormat="1" ht="12.95" customHeight="1" thickBot="1" x14ac:dyDescent="0.25">
      <c r="C10" s="36" t="s">
        <v>20</v>
      </c>
      <c r="D10" s="36" t="s">
        <v>21</v>
      </c>
    </row>
    <row r="11" spans="1:6" s="26" customFormat="1" ht="12.95" customHeight="1" x14ac:dyDescent="0.2">
      <c r="A11" s="26" t="s">
        <v>16</v>
      </c>
      <c r="C11" s="35">
        <f ca="1">INTERCEPT(INDIRECT($D$9):G992,INDIRECT($C$9):F992)</f>
        <v>-3.0525757343656456E-3</v>
      </c>
      <c r="D11" s="37"/>
    </row>
    <row r="12" spans="1:6" s="26" customFormat="1" ht="12.95" customHeight="1" x14ac:dyDescent="0.2">
      <c r="A12" s="26" t="s">
        <v>17</v>
      </c>
      <c r="C12" s="35">
        <f ca="1">SLOPE(INDIRECT($D$9):G992,INDIRECT($C$9):F992)</f>
        <v>-2.6347169265317721E-6</v>
      </c>
      <c r="D12" s="37"/>
    </row>
    <row r="13" spans="1:6" s="26" customFormat="1" ht="12.95" customHeight="1" x14ac:dyDescent="0.2">
      <c r="A13" s="26" t="s">
        <v>19</v>
      </c>
      <c r="C13" s="37" t="s">
        <v>14</v>
      </c>
    </row>
    <row r="14" spans="1:6" s="26" customFormat="1" ht="12.95" customHeight="1" x14ac:dyDescent="0.2"/>
    <row r="15" spans="1:6" s="26" customFormat="1" ht="12.95" customHeight="1" x14ac:dyDescent="0.2">
      <c r="A15" s="38" t="s">
        <v>18</v>
      </c>
      <c r="C15" s="39">
        <f ca="1">(C7+C11)+(C8+C12)*INT(MAX(F21:F3533))</f>
        <v>57219.223994342276</v>
      </c>
      <c r="E15" s="40" t="s">
        <v>40</v>
      </c>
      <c r="F15" s="31">
        <v>1</v>
      </c>
    </row>
    <row r="16" spans="1:6" s="26" customFormat="1" ht="12.95" customHeight="1" x14ac:dyDescent="0.2">
      <c r="A16" s="27" t="s">
        <v>4</v>
      </c>
      <c r="C16" s="41">
        <f ca="1">+C8+C12</f>
        <v>4.5261453652830737</v>
      </c>
      <c r="E16" s="40" t="s">
        <v>36</v>
      </c>
      <c r="F16" s="42">
        <f ca="1">NOW()+15018.5+$C$5/24</f>
        <v>60379.642355902775</v>
      </c>
    </row>
    <row r="17" spans="1:17" s="26" customFormat="1" ht="12.95" customHeight="1" thickBot="1" x14ac:dyDescent="0.25">
      <c r="A17" s="40" t="s">
        <v>31</v>
      </c>
      <c r="C17" s="26">
        <f>COUNT(C21:C2191)</f>
        <v>13</v>
      </c>
      <c r="E17" s="40" t="s">
        <v>41</v>
      </c>
      <c r="F17" s="42">
        <f ca="1">ROUND(2*(F16-$C$7)/$C$8,0)/2+F15</f>
        <v>5673.5</v>
      </c>
    </row>
    <row r="18" spans="1:17" s="26" customFormat="1" ht="12.95" customHeight="1" thickTop="1" thickBot="1" x14ac:dyDescent="0.25">
      <c r="A18" s="27" t="s">
        <v>5</v>
      </c>
      <c r="C18" s="28">
        <f ca="1">+C15</f>
        <v>57219.223994342276</v>
      </c>
      <c r="D18" s="29">
        <f ca="1">+C16</f>
        <v>4.5261453652830737</v>
      </c>
      <c r="E18" s="40" t="s">
        <v>37</v>
      </c>
      <c r="F18" s="35">
        <f ca="1">ROUND(2*(F16-$C$15)/$C$16,0)/2+F15</f>
        <v>699.5</v>
      </c>
    </row>
    <row r="19" spans="1:17" s="26" customFormat="1" ht="12.95" customHeight="1" thickTop="1" x14ac:dyDescent="0.2">
      <c r="E19" s="40" t="s">
        <v>38</v>
      </c>
      <c r="F19" s="43">
        <f ca="1">+$C$15+$C$16*F18-15018.5-$C$5/24</f>
        <v>45367.158510691123</v>
      </c>
    </row>
    <row r="20" spans="1:17" s="26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13</v>
      </c>
      <c r="E20" s="36" t="s">
        <v>9</v>
      </c>
      <c r="F20" s="36" t="s">
        <v>10</v>
      </c>
      <c r="G20" s="36" t="s">
        <v>11</v>
      </c>
      <c r="H20" s="44" t="s">
        <v>51</v>
      </c>
      <c r="I20" s="44" t="s">
        <v>54</v>
      </c>
      <c r="J20" s="44" t="s">
        <v>48</v>
      </c>
      <c r="K20" s="44" t="s">
        <v>46</v>
      </c>
      <c r="L20" s="44" t="s">
        <v>25</v>
      </c>
      <c r="M20" s="44" t="s">
        <v>26</v>
      </c>
      <c r="N20" s="44" t="s">
        <v>27</v>
      </c>
      <c r="O20" s="44" t="s">
        <v>23</v>
      </c>
      <c r="P20" s="45" t="s">
        <v>22</v>
      </c>
      <c r="Q20" s="36" t="s">
        <v>15</v>
      </c>
    </row>
    <row r="21" spans="1:17" s="26" customFormat="1" ht="12.95" customHeight="1" x14ac:dyDescent="0.2">
      <c r="A21" s="46" t="s">
        <v>60</v>
      </c>
      <c r="B21" s="47" t="s">
        <v>30</v>
      </c>
      <c r="C21" s="48">
        <v>32764.474999999999</v>
      </c>
      <c r="D21" s="49"/>
      <c r="E21" s="26">
        <f t="shared" ref="E21:E33" si="0">+(C21-C$7)/C$8</f>
        <v>-428.99724003722406</v>
      </c>
      <c r="F21" s="26">
        <f t="shared" ref="F21:F33" si="1">ROUND(2*E21,0)/2</f>
        <v>-429</v>
      </c>
      <c r="G21" s="26">
        <f t="shared" ref="G21:G33" si="2">+C21-(C$7+F21*C$8)</f>
        <v>1.249199999801931E-2</v>
      </c>
      <c r="H21" s="26">
        <f t="shared" ref="H21:H28" si="3">+G21</f>
        <v>1.249199999801931E-2</v>
      </c>
      <c r="O21" s="26">
        <f t="shared" ref="O21:O33" ca="1" si="4">+C$11+C$12*$F21</f>
        <v>-1.9222821728835154E-3</v>
      </c>
      <c r="Q21" s="50">
        <f t="shared" ref="Q21:Q33" si="5">+C21-15018.5</f>
        <v>17745.974999999999</v>
      </c>
    </row>
    <row r="22" spans="1:17" s="26" customFormat="1" ht="12.95" customHeight="1" x14ac:dyDescent="0.2">
      <c r="A22" s="46" t="s">
        <v>60</v>
      </c>
      <c r="B22" s="47" t="s">
        <v>30</v>
      </c>
      <c r="C22" s="48">
        <v>33538.42</v>
      </c>
      <c r="D22" s="49"/>
      <c r="E22" s="26">
        <f t="shared" si="0"/>
        <v>-258.00305248524836</v>
      </c>
      <c r="F22" s="26">
        <f t="shared" si="1"/>
        <v>-258</v>
      </c>
      <c r="G22" s="26">
        <f t="shared" si="2"/>
        <v>-1.3815999998769257E-2</v>
      </c>
      <c r="H22" s="26">
        <f t="shared" si="3"/>
        <v>-1.3815999998769257E-2</v>
      </c>
      <c r="O22" s="26">
        <f t="shared" ca="1" si="4"/>
        <v>-2.3728187673204486E-3</v>
      </c>
      <c r="Q22" s="50">
        <f t="shared" si="5"/>
        <v>18519.919999999998</v>
      </c>
    </row>
    <row r="23" spans="1:17" s="26" customFormat="1" ht="12.95" customHeight="1" x14ac:dyDescent="0.2">
      <c r="A23" s="46" t="s">
        <v>60</v>
      </c>
      <c r="B23" s="47" t="s">
        <v>30</v>
      </c>
      <c r="C23" s="48">
        <v>33891.455999999998</v>
      </c>
      <c r="D23" s="49"/>
      <c r="E23" s="26">
        <f t="shared" si="0"/>
        <v>-180.00383549101841</v>
      </c>
      <c r="F23" s="26">
        <f t="shared" si="1"/>
        <v>-180</v>
      </c>
      <c r="G23" s="26">
        <f t="shared" si="2"/>
        <v>-1.7360000005282927E-2</v>
      </c>
      <c r="H23" s="26">
        <f t="shared" si="3"/>
        <v>-1.7360000005282927E-2</v>
      </c>
      <c r="O23" s="26">
        <f t="shared" ca="1" si="4"/>
        <v>-2.5783266875899265E-3</v>
      </c>
      <c r="Q23" s="50">
        <f t="shared" si="5"/>
        <v>18872.955999999998</v>
      </c>
    </row>
    <row r="24" spans="1:17" s="26" customFormat="1" ht="12.95" customHeight="1" x14ac:dyDescent="0.2">
      <c r="A24" s="26" t="s">
        <v>12</v>
      </c>
      <c r="C24" s="49">
        <f>+C7</f>
        <v>34706.18</v>
      </c>
      <c r="D24" s="49" t="s">
        <v>14</v>
      </c>
      <c r="E24" s="26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O24" s="26">
        <f t="shared" ca="1" si="4"/>
        <v>-3.0525757343656456E-3</v>
      </c>
      <c r="Q24" s="50">
        <f t="shared" si="5"/>
        <v>19687.68</v>
      </c>
    </row>
    <row r="25" spans="1:17" s="26" customFormat="1" ht="12.95" customHeight="1" x14ac:dyDescent="0.2">
      <c r="A25" s="46" t="s">
        <v>60</v>
      </c>
      <c r="B25" s="47" t="s">
        <v>30</v>
      </c>
      <c r="C25" s="48">
        <v>34706.19</v>
      </c>
      <c r="D25" s="49"/>
      <c r="E25" s="26">
        <f t="shared" si="0"/>
        <v>2.2093842273909884E-3</v>
      </c>
      <c r="F25" s="26">
        <f t="shared" si="1"/>
        <v>0</v>
      </c>
      <c r="G25" s="26">
        <f t="shared" si="2"/>
        <v>1.0000000002037268E-2</v>
      </c>
      <c r="H25" s="26">
        <f t="shared" si="3"/>
        <v>1.0000000002037268E-2</v>
      </c>
      <c r="O25" s="26">
        <f t="shared" ca="1" si="4"/>
        <v>-3.0525757343656456E-3</v>
      </c>
      <c r="Q25" s="50">
        <f t="shared" si="5"/>
        <v>19687.690000000002</v>
      </c>
    </row>
    <row r="26" spans="1:17" s="26" customFormat="1" ht="12.95" customHeight="1" x14ac:dyDescent="0.2">
      <c r="A26" s="46" t="s">
        <v>60</v>
      </c>
      <c r="B26" s="47" t="s">
        <v>30</v>
      </c>
      <c r="C26" s="48">
        <v>35009.445</v>
      </c>
      <c r="D26" s="49"/>
      <c r="E26" s="26">
        <f t="shared" si="0"/>
        <v>67.002890758322394</v>
      </c>
      <c r="F26" s="26">
        <f t="shared" si="1"/>
        <v>67</v>
      </c>
      <c r="G26" s="26">
        <f t="shared" si="2"/>
        <v>1.3083999998343643E-2</v>
      </c>
      <c r="H26" s="26">
        <f t="shared" si="3"/>
        <v>1.3083999998343643E-2</v>
      </c>
      <c r="O26" s="26">
        <f t="shared" ca="1" si="4"/>
        <v>-3.2291017684432741E-3</v>
      </c>
      <c r="Q26" s="50">
        <f t="shared" si="5"/>
        <v>19990.945</v>
      </c>
    </row>
    <row r="27" spans="1:17" s="26" customFormat="1" ht="12.95" customHeight="1" x14ac:dyDescent="0.2">
      <c r="A27" s="46" t="s">
        <v>60</v>
      </c>
      <c r="B27" s="47" t="s">
        <v>30</v>
      </c>
      <c r="C27" s="48">
        <v>35371.5</v>
      </c>
      <c r="D27" s="49"/>
      <c r="E27" s="26">
        <f t="shared" si="0"/>
        <v>146.99475138683042</v>
      </c>
      <c r="F27" s="26">
        <f t="shared" si="1"/>
        <v>147</v>
      </c>
      <c r="G27" s="26">
        <f t="shared" si="2"/>
        <v>-2.3756000002322253E-2</v>
      </c>
      <c r="H27" s="26">
        <f t="shared" si="3"/>
        <v>-2.3756000002322253E-2</v>
      </c>
      <c r="O27" s="26">
        <f t="shared" ca="1" si="4"/>
        <v>-3.4398791225658163E-3</v>
      </c>
      <c r="Q27" s="50">
        <f t="shared" si="5"/>
        <v>20353</v>
      </c>
    </row>
    <row r="28" spans="1:17" s="26" customFormat="1" ht="12.95" customHeight="1" x14ac:dyDescent="0.2">
      <c r="A28" s="46" t="s">
        <v>60</v>
      </c>
      <c r="B28" s="47" t="s">
        <v>30</v>
      </c>
      <c r="C28" s="48">
        <v>36815.375</v>
      </c>
      <c r="D28" s="49"/>
      <c r="E28" s="26">
        <f t="shared" si="0"/>
        <v>466.00221645425637</v>
      </c>
      <c r="F28" s="26">
        <f t="shared" si="1"/>
        <v>466</v>
      </c>
      <c r="G28" s="26">
        <f t="shared" si="2"/>
        <v>1.0031999998318497E-2</v>
      </c>
      <c r="H28" s="26">
        <f t="shared" si="3"/>
        <v>1.0031999998318497E-2</v>
      </c>
      <c r="O28" s="26">
        <f t="shared" ca="1" si="4"/>
        <v>-4.280353822129452E-3</v>
      </c>
      <c r="Q28" s="50">
        <f t="shared" si="5"/>
        <v>21796.875</v>
      </c>
    </row>
    <row r="29" spans="1:17" s="26" customFormat="1" ht="12.95" customHeight="1" x14ac:dyDescent="0.2">
      <c r="A29" s="3" t="s">
        <v>29</v>
      </c>
      <c r="B29" s="2" t="s">
        <v>30</v>
      </c>
      <c r="C29" s="51">
        <v>53186.443899999998</v>
      </c>
      <c r="D29" s="52">
        <v>4.1000000000000003E-3</v>
      </c>
      <c r="E29" s="26">
        <f t="shared" si="0"/>
        <v>4083.0003570364906</v>
      </c>
      <c r="F29" s="26">
        <f t="shared" si="1"/>
        <v>4083</v>
      </c>
      <c r="G29" s="26">
        <f t="shared" si="2"/>
        <v>1.6159999941010028E-3</v>
      </c>
      <c r="K29" s="26">
        <f>+G29</f>
        <v>1.6159999941010028E-3</v>
      </c>
      <c r="O29" s="26">
        <f t="shared" ca="1" si="4"/>
        <v>-1.381012494539487E-2</v>
      </c>
      <c r="Q29" s="50">
        <f t="shared" si="5"/>
        <v>38167.943899999998</v>
      </c>
    </row>
    <row r="30" spans="1:17" x14ac:dyDescent="0.2">
      <c r="A30" s="4" t="s">
        <v>33</v>
      </c>
      <c r="B30" s="5"/>
      <c r="C30" s="6">
        <v>53650.355499999998</v>
      </c>
      <c r="D30" s="6">
        <v>2E-3</v>
      </c>
      <c r="E30">
        <f t="shared" si="0"/>
        <v>4185.4962542099811</v>
      </c>
      <c r="F30">
        <f t="shared" si="1"/>
        <v>4185.5</v>
      </c>
      <c r="G30">
        <f t="shared" si="2"/>
        <v>-1.6953999998804647E-2</v>
      </c>
      <c r="J30">
        <f>+G30</f>
        <v>-1.6953999998804647E-2</v>
      </c>
      <c r="O30">
        <f t="shared" ca="1" si="4"/>
        <v>-1.4080183430364379E-2</v>
      </c>
      <c r="Q30" s="1">
        <f t="shared" si="5"/>
        <v>38631.855499999998</v>
      </c>
    </row>
    <row r="31" spans="1:17" x14ac:dyDescent="0.2">
      <c r="A31" s="21" t="s">
        <v>42</v>
      </c>
      <c r="B31" s="22" t="s">
        <v>30</v>
      </c>
      <c r="C31" s="21">
        <v>55707.497499999998</v>
      </c>
      <c r="D31" s="21">
        <v>4.3E-3</v>
      </c>
      <c r="E31">
        <f t="shared" si="0"/>
        <v>4639.9979629477421</v>
      </c>
      <c r="F31">
        <f t="shared" si="1"/>
        <v>4640</v>
      </c>
      <c r="G31">
        <f t="shared" si="2"/>
        <v>-9.2200000071898103E-3</v>
      </c>
      <c r="J31">
        <f>+G31</f>
        <v>-9.2200000071898103E-3</v>
      </c>
      <c r="O31">
        <f t="shared" ca="1" si="4"/>
        <v>-1.5277662273473068E-2</v>
      </c>
      <c r="Q31" s="1">
        <f t="shared" si="5"/>
        <v>40688.997499999998</v>
      </c>
    </row>
    <row r="32" spans="1:17" x14ac:dyDescent="0.2">
      <c r="A32" s="21" t="s">
        <v>42</v>
      </c>
      <c r="B32" s="22" t="s">
        <v>43</v>
      </c>
      <c r="C32" s="21">
        <v>55741.4251</v>
      </c>
      <c r="D32" s="21">
        <v>1.01E-2</v>
      </c>
      <c r="E32">
        <f t="shared" si="0"/>
        <v>4647.4938733775389</v>
      </c>
      <c r="F32">
        <f t="shared" si="1"/>
        <v>4647.5</v>
      </c>
      <c r="G32">
        <f t="shared" si="2"/>
        <v>-2.7730000001611188E-2</v>
      </c>
      <c r="J32">
        <f>+G32</f>
        <v>-2.7730000001611188E-2</v>
      </c>
      <c r="O32">
        <f t="shared" ca="1" si="4"/>
        <v>-1.5297422650422058E-2</v>
      </c>
      <c r="Q32" s="1">
        <f t="shared" si="5"/>
        <v>40722.9251</v>
      </c>
    </row>
    <row r="33" spans="1:17" x14ac:dyDescent="0.2">
      <c r="A33" s="23" t="s">
        <v>102</v>
      </c>
      <c r="B33" s="24" t="s">
        <v>43</v>
      </c>
      <c r="C33" s="25">
        <v>57221.4807</v>
      </c>
      <c r="D33" s="25">
        <v>2.9999999999999997E-4</v>
      </c>
      <c r="E33">
        <f t="shared" si="0"/>
        <v>4974.4950231410903</v>
      </c>
      <c r="F33">
        <f t="shared" si="1"/>
        <v>4974.5</v>
      </c>
      <c r="G33">
        <f t="shared" si="2"/>
        <v>-2.2526000000652857E-2</v>
      </c>
      <c r="K33">
        <f>+G33</f>
        <v>-2.2526000000652857E-2</v>
      </c>
      <c r="O33">
        <f t="shared" ca="1" si="4"/>
        <v>-1.6158975085397945E-2</v>
      </c>
      <c r="Q33" s="1">
        <f t="shared" si="5"/>
        <v>42202.9807</v>
      </c>
    </row>
    <row r="34" spans="1:17" x14ac:dyDescent="0.2">
      <c r="C34" s="6"/>
      <c r="D34" s="6"/>
    </row>
    <row r="35" spans="1:17" x14ac:dyDescent="0.2">
      <c r="C35" s="6"/>
      <c r="D35" s="6"/>
    </row>
    <row r="36" spans="1:17" x14ac:dyDescent="0.2">
      <c r="C36" s="6"/>
      <c r="D36" s="6"/>
    </row>
    <row r="37" spans="1:17" x14ac:dyDescent="0.2">
      <c r="C37" s="6"/>
      <c r="D37" s="6"/>
    </row>
    <row r="38" spans="1:17" x14ac:dyDescent="0.2">
      <c r="C38" s="6"/>
      <c r="D38" s="6"/>
    </row>
    <row r="39" spans="1:17" x14ac:dyDescent="0.2">
      <c r="C39" s="6"/>
      <c r="D39" s="6"/>
    </row>
    <row r="40" spans="1:17" x14ac:dyDescent="0.2">
      <c r="C40" s="6"/>
      <c r="D40" s="6"/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workbookViewId="0">
      <selection activeCell="A15" sqref="A15:C21"/>
    </sheetView>
  </sheetViews>
  <sheetFormatPr defaultRowHeight="12.75" x14ac:dyDescent="0.2"/>
  <cols>
    <col min="1" max="1" width="19.7109375" style="6" customWidth="1"/>
    <col min="2" max="2" width="4.42578125" style="4" customWidth="1"/>
    <col min="3" max="3" width="12.7109375" style="6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6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44</v>
      </c>
      <c r="I1" s="9" t="s">
        <v>45</v>
      </c>
      <c r="J1" s="10" t="s">
        <v>46</v>
      </c>
    </row>
    <row r="2" spans="1:16" x14ac:dyDescent="0.2">
      <c r="I2" s="11" t="s">
        <v>47</v>
      </c>
      <c r="J2" s="12" t="s">
        <v>48</v>
      </c>
    </row>
    <row r="3" spans="1:16" x14ac:dyDescent="0.2">
      <c r="A3" s="13" t="s">
        <v>49</v>
      </c>
      <c r="I3" s="11" t="s">
        <v>50</v>
      </c>
      <c r="J3" s="12" t="s">
        <v>51</v>
      </c>
    </row>
    <row r="4" spans="1:16" x14ac:dyDescent="0.2">
      <c r="I4" s="11" t="s">
        <v>52</v>
      </c>
      <c r="J4" s="12" t="s">
        <v>51</v>
      </c>
    </row>
    <row r="5" spans="1:16" ht="13.5" thickBot="1" x14ac:dyDescent="0.25">
      <c r="I5" s="14" t="s">
        <v>53</v>
      </c>
      <c r="J5" s="15" t="s">
        <v>54</v>
      </c>
    </row>
    <row r="10" spans="1:16" ht="13.5" thickBot="1" x14ac:dyDescent="0.25"/>
    <row r="11" spans="1:16" ht="12.75" customHeight="1" thickBot="1" x14ac:dyDescent="0.25">
      <c r="A11" s="6" t="str">
        <f t="shared" ref="A11:A21" si="0">P11</f>
        <v>IBVS 5583 </v>
      </c>
      <c r="B11" s="7" t="str">
        <f t="shared" ref="B11:B21" si="1">IF(H11=INT(H11),"I","II")</f>
        <v>I</v>
      </c>
      <c r="C11" s="6">
        <f t="shared" ref="C11:C21" si="2">1*G11</f>
        <v>53186.443899999998</v>
      </c>
      <c r="D11" s="4" t="str">
        <f t="shared" ref="D11:D21" si="3">VLOOKUP(F11,I$1:J$5,2,FALSE)</f>
        <v>vis</v>
      </c>
      <c r="E11" s="16">
        <f>VLOOKUP(C11,Active!C$21:E$973,3,FALSE)</f>
        <v>4083.0003570364906</v>
      </c>
      <c r="F11" s="7" t="s">
        <v>53</v>
      </c>
      <c r="G11" s="4" t="str">
        <f t="shared" ref="G11:G21" si="4">MID(I11,3,LEN(I11)-3)</f>
        <v>53186.4439</v>
      </c>
      <c r="H11" s="6">
        <f t="shared" ref="H11:H21" si="5">1*K11</f>
        <v>4083</v>
      </c>
      <c r="I11" s="17" t="s">
        <v>78</v>
      </c>
      <c r="J11" s="18" t="s">
        <v>79</v>
      </c>
      <c r="K11" s="17">
        <v>4083</v>
      </c>
      <c r="L11" s="17" t="s">
        <v>80</v>
      </c>
      <c r="M11" s="18" t="s">
        <v>81</v>
      </c>
      <c r="N11" s="18" t="s">
        <v>82</v>
      </c>
      <c r="O11" s="19" t="s">
        <v>83</v>
      </c>
      <c r="P11" s="20" t="s">
        <v>84</v>
      </c>
    </row>
    <row r="12" spans="1:16" ht="12.75" customHeight="1" thickBot="1" x14ac:dyDescent="0.25">
      <c r="A12" s="6" t="str">
        <f t="shared" si="0"/>
        <v>BAVM 178 </v>
      </c>
      <c r="B12" s="7" t="str">
        <f t="shared" si="1"/>
        <v>II</v>
      </c>
      <c r="C12" s="6">
        <f t="shared" si="2"/>
        <v>53650.355499999998</v>
      </c>
      <c r="D12" s="4" t="str">
        <f t="shared" si="3"/>
        <v>vis</v>
      </c>
      <c r="E12" s="16">
        <f>VLOOKUP(C12,Active!C$21:E$973,3,FALSE)</f>
        <v>4185.4962542099811</v>
      </c>
      <c r="F12" s="7" t="s">
        <v>53</v>
      </c>
      <c r="G12" s="4" t="str">
        <f t="shared" si="4"/>
        <v>53650.3555</v>
      </c>
      <c r="H12" s="6">
        <f t="shared" si="5"/>
        <v>4185.5</v>
      </c>
      <c r="I12" s="17" t="s">
        <v>85</v>
      </c>
      <c r="J12" s="18" t="s">
        <v>86</v>
      </c>
      <c r="K12" s="17">
        <v>4185.5</v>
      </c>
      <c r="L12" s="17" t="s">
        <v>87</v>
      </c>
      <c r="M12" s="18" t="s">
        <v>88</v>
      </c>
      <c r="N12" s="18" t="s">
        <v>89</v>
      </c>
      <c r="O12" s="19" t="s">
        <v>90</v>
      </c>
      <c r="P12" s="20" t="s">
        <v>91</v>
      </c>
    </row>
    <row r="13" spans="1:16" ht="12.75" customHeight="1" thickBot="1" x14ac:dyDescent="0.25">
      <c r="A13" s="6" t="str">
        <f t="shared" si="0"/>
        <v>BAVM 220 </v>
      </c>
      <c r="B13" s="7" t="str">
        <f t="shared" si="1"/>
        <v>I</v>
      </c>
      <c r="C13" s="6">
        <f t="shared" si="2"/>
        <v>55707.497499999998</v>
      </c>
      <c r="D13" s="4" t="str">
        <f t="shared" si="3"/>
        <v>vis</v>
      </c>
      <c r="E13" s="16">
        <f>VLOOKUP(C13,Active!C$21:E$973,3,FALSE)</f>
        <v>4639.9979629477421</v>
      </c>
      <c r="F13" s="7" t="s">
        <v>53</v>
      </c>
      <c r="G13" s="4" t="str">
        <f t="shared" si="4"/>
        <v>55707.4975</v>
      </c>
      <c r="H13" s="6">
        <f t="shared" si="5"/>
        <v>4640</v>
      </c>
      <c r="I13" s="17" t="s">
        <v>92</v>
      </c>
      <c r="J13" s="18" t="s">
        <v>93</v>
      </c>
      <c r="K13" s="17" t="s">
        <v>94</v>
      </c>
      <c r="L13" s="17" t="s">
        <v>95</v>
      </c>
      <c r="M13" s="18" t="s">
        <v>88</v>
      </c>
      <c r="N13" s="18" t="s">
        <v>89</v>
      </c>
      <c r="O13" s="19" t="s">
        <v>96</v>
      </c>
      <c r="P13" s="20" t="s">
        <v>97</v>
      </c>
    </row>
    <row r="14" spans="1:16" ht="12.75" customHeight="1" thickBot="1" x14ac:dyDescent="0.25">
      <c r="A14" s="6" t="str">
        <f t="shared" si="0"/>
        <v>BAVM 220 </v>
      </c>
      <c r="B14" s="7" t="str">
        <f t="shared" si="1"/>
        <v>II</v>
      </c>
      <c r="C14" s="6">
        <f t="shared" si="2"/>
        <v>55741.4251</v>
      </c>
      <c r="D14" s="4" t="str">
        <f t="shared" si="3"/>
        <v>vis</v>
      </c>
      <c r="E14" s="16">
        <f>VLOOKUP(C14,Active!C$21:E$973,3,FALSE)</f>
        <v>4647.4938733775389</v>
      </c>
      <c r="F14" s="7" t="s">
        <v>53</v>
      </c>
      <c r="G14" s="4" t="str">
        <f t="shared" si="4"/>
        <v>55741.4251</v>
      </c>
      <c r="H14" s="6">
        <f t="shared" si="5"/>
        <v>4647.5</v>
      </c>
      <c r="I14" s="17" t="s">
        <v>98</v>
      </c>
      <c r="J14" s="18" t="s">
        <v>99</v>
      </c>
      <c r="K14" s="17" t="s">
        <v>100</v>
      </c>
      <c r="L14" s="17" t="s">
        <v>101</v>
      </c>
      <c r="M14" s="18" t="s">
        <v>88</v>
      </c>
      <c r="N14" s="18" t="s">
        <v>89</v>
      </c>
      <c r="O14" s="19" t="s">
        <v>96</v>
      </c>
      <c r="P14" s="20" t="s">
        <v>97</v>
      </c>
    </row>
    <row r="15" spans="1:16" ht="12.75" customHeight="1" thickBot="1" x14ac:dyDescent="0.25">
      <c r="A15" s="6" t="str">
        <f t="shared" si="0"/>
        <v> AHSB 6.3.46 </v>
      </c>
      <c r="B15" s="7" t="str">
        <f t="shared" si="1"/>
        <v>I</v>
      </c>
      <c r="C15" s="6">
        <f t="shared" si="2"/>
        <v>32764.474999999999</v>
      </c>
      <c r="D15" s="4" t="str">
        <f t="shared" si="3"/>
        <v>vis</v>
      </c>
      <c r="E15" s="16">
        <f>VLOOKUP(C15,Active!C$21:E$973,3,FALSE)</f>
        <v>-428.99724003722406</v>
      </c>
      <c r="F15" s="7" t="s">
        <v>53</v>
      </c>
      <c r="G15" s="4" t="str">
        <f t="shared" si="4"/>
        <v>32764.475</v>
      </c>
      <c r="H15" s="6">
        <f t="shared" si="5"/>
        <v>-429</v>
      </c>
      <c r="I15" s="17" t="s">
        <v>55</v>
      </c>
      <c r="J15" s="18" t="s">
        <v>56</v>
      </c>
      <c r="K15" s="17">
        <v>-429</v>
      </c>
      <c r="L15" s="17" t="s">
        <v>57</v>
      </c>
      <c r="M15" s="18" t="s">
        <v>58</v>
      </c>
      <c r="N15" s="18"/>
      <c r="O15" s="19" t="s">
        <v>59</v>
      </c>
      <c r="P15" s="19" t="s">
        <v>60</v>
      </c>
    </row>
    <row r="16" spans="1:16" ht="12.75" customHeight="1" thickBot="1" x14ac:dyDescent="0.25">
      <c r="A16" s="6" t="str">
        <f t="shared" si="0"/>
        <v> AHSB 6.3.46 </v>
      </c>
      <c r="B16" s="7" t="str">
        <f t="shared" si="1"/>
        <v>I</v>
      </c>
      <c r="C16" s="6">
        <f t="shared" si="2"/>
        <v>33538.42</v>
      </c>
      <c r="D16" s="4" t="str">
        <f t="shared" si="3"/>
        <v>vis</v>
      </c>
      <c r="E16" s="16">
        <f>VLOOKUP(C16,Active!C$21:E$973,3,FALSE)</f>
        <v>-258.00305248524836</v>
      </c>
      <c r="F16" s="7" t="s">
        <v>53</v>
      </c>
      <c r="G16" s="4" t="str">
        <f t="shared" si="4"/>
        <v>33538.420</v>
      </c>
      <c r="H16" s="6">
        <f t="shared" si="5"/>
        <v>-258</v>
      </c>
      <c r="I16" s="17" t="s">
        <v>61</v>
      </c>
      <c r="J16" s="18" t="s">
        <v>62</v>
      </c>
      <c r="K16" s="17">
        <v>-258</v>
      </c>
      <c r="L16" s="17" t="s">
        <v>63</v>
      </c>
      <c r="M16" s="18" t="s">
        <v>58</v>
      </c>
      <c r="N16" s="18"/>
      <c r="O16" s="19" t="s">
        <v>59</v>
      </c>
      <c r="P16" s="19" t="s">
        <v>60</v>
      </c>
    </row>
    <row r="17" spans="1:16" ht="12.75" customHeight="1" thickBot="1" x14ac:dyDescent="0.25">
      <c r="A17" s="6" t="str">
        <f t="shared" si="0"/>
        <v> AHSB 6.3.46 </v>
      </c>
      <c r="B17" s="7" t="str">
        <f t="shared" si="1"/>
        <v>I</v>
      </c>
      <c r="C17" s="6">
        <f t="shared" si="2"/>
        <v>33891.455999999998</v>
      </c>
      <c r="D17" s="4" t="str">
        <f t="shared" si="3"/>
        <v>vis</v>
      </c>
      <c r="E17" s="16">
        <f>VLOOKUP(C17,Active!C$21:E$973,3,FALSE)</f>
        <v>-180.00383549101841</v>
      </c>
      <c r="F17" s="7" t="s">
        <v>53</v>
      </c>
      <c r="G17" s="4" t="str">
        <f t="shared" si="4"/>
        <v>33891.456</v>
      </c>
      <c r="H17" s="6">
        <f t="shared" si="5"/>
        <v>-180</v>
      </c>
      <c r="I17" s="17" t="s">
        <v>64</v>
      </c>
      <c r="J17" s="18" t="s">
        <v>65</v>
      </c>
      <c r="K17" s="17">
        <v>-180</v>
      </c>
      <c r="L17" s="17" t="s">
        <v>66</v>
      </c>
      <c r="M17" s="18" t="s">
        <v>58</v>
      </c>
      <c r="N17" s="18"/>
      <c r="O17" s="19" t="s">
        <v>59</v>
      </c>
      <c r="P17" s="19" t="s">
        <v>60</v>
      </c>
    </row>
    <row r="18" spans="1:16" ht="12.75" customHeight="1" thickBot="1" x14ac:dyDescent="0.25">
      <c r="A18" s="6" t="str">
        <f t="shared" si="0"/>
        <v> AHSB 6.3.46 </v>
      </c>
      <c r="B18" s="7" t="str">
        <f t="shared" si="1"/>
        <v>I</v>
      </c>
      <c r="C18" s="6">
        <f t="shared" si="2"/>
        <v>34706.19</v>
      </c>
      <c r="D18" s="4" t="str">
        <f t="shared" si="3"/>
        <v>vis</v>
      </c>
      <c r="E18" s="16">
        <f>VLOOKUP(C18,Active!C$21:E$973,3,FALSE)</f>
        <v>2.2093842273909884E-3</v>
      </c>
      <c r="F18" s="7" t="s">
        <v>53</v>
      </c>
      <c r="G18" s="4" t="str">
        <f t="shared" si="4"/>
        <v>34706.190</v>
      </c>
      <c r="H18" s="6">
        <f t="shared" si="5"/>
        <v>0</v>
      </c>
      <c r="I18" s="17" t="s">
        <v>67</v>
      </c>
      <c r="J18" s="18" t="s">
        <v>68</v>
      </c>
      <c r="K18" s="17">
        <v>0</v>
      </c>
      <c r="L18" s="17" t="s">
        <v>69</v>
      </c>
      <c r="M18" s="18" t="s">
        <v>58</v>
      </c>
      <c r="N18" s="18"/>
      <c r="O18" s="19" t="s">
        <v>59</v>
      </c>
      <c r="P18" s="19" t="s">
        <v>60</v>
      </c>
    </row>
    <row r="19" spans="1:16" ht="12.75" customHeight="1" thickBot="1" x14ac:dyDescent="0.25">
      <c r="A19" s="6" t="str">
        <f t="shared" si="0"/>
        <v> AHSB 6.3.46 </v>
      </c>
      <c r="B19" s="7" t="str">
        <f t="shared" si="1"/>
        <v>I</v>
      </c>
      <c r="C19" s="6">
        <f t="shared" si="2"/>
        <v>35009.445</v>
      </c>
      <c r="D19" s="4" t="str">
        <f t="shared" si="3"/>
        <v>vis</v>
      </c>
      <c r="E19" s="16">
        <f>VLOOKUP(C19,Active!C$21:E$973,3,FALSE)</f>
        <v>67.002890758322394</v>
      </c>
      <c r="F19" s="7" t="s">
        <v>53</v>
      </c>
      <c r="G19" s="4" t="str">
        <f t="shared" si="4"/>
        <v>35009.445</v>
      </c>
      <c r="H19" s="6">
        <f t="shared" si="5"/>
        <v>67</v>
      </c>
      <c r="I19" s="17" t="s">
        <v>70</v>
      </c>
      <c r="J19" s="18" t="s">
        <v>71</v>
      </c>
      <c r="K19" s="17">
        <v>67</v>
      </c>
      <c r="L19" s="17" t="s">
        <v>72</v>
      </c>
      <c r="M19" s="18" t="s">
        <v>58</v>
      </c>
      <c r="N19" s="18"/>
      <c r="O19" s="19" t="s">
        <v>59</v>
      </c>
      <c r="P19" s="19" t="s">
        <v>60</v>
      </c>
    </row>
    <row r="20" spans="1:16" ht="12.75" customHeight="1" thickBot="1" x14ac:dyDescent="0.25">
      <c r="A20" s="6" t="str">
        <f t="shared" si="0"/>
        <v> AHSB 6.3.46 </v>
      </c>
      <c r="B20" s="7" t="str">
        <f t="shared" si="1"/>
        <v>I</v>
      </c>
      <c r="C20" s="6">
        <f t="shared" si="2"/>
        <v>35371.5</v>
      </c>
      <c r="D20" s="4" t="str">
        <f t="shared" si="3"/>
        <v>vis</v>
      </c>
      <c r="E20" s="16">
        <f>VLOOKUP(C20,Active!C$21:E$973,3,FALSE)</f>
        <v>146.99475138683042</v>
      </c>
      <c r="F20" s="7" t="s">
        <v>53</v>
      </c>
      <c r="G20" s="4" t="str">
        <f t="shared" si="4"/>
        <v>35371.500</v>
      </c>
      <c r="H20" s="6">
        <f t="shared" si="5"/>
        <v>147</v>
      </c>
      <c r="I20" s="17" t="s">
        <v>73</v>
      </c>
      <c r="J20" s="18" t="s">
        <v>74</v>
      </c>
      <c r="K20" s="17">
        <v>147</v>
      </c>
      <c r="L20" s="17" t="s">
        <v>75</v>
      </c>
      <c r="M20" s="18" t="s">
        <v>58</v>
      </c>
      <c r="N20" s="18"/>
      <c r="O20" s="19" t="s">
        <v>59</v>
      </c>
      <c r="P20" s="19" t="s">
        <v>60</v>
      </c>
    </row>
    <row r="21" spans="1:16" ht="12.75" customHeight="1" thickBot="1" x14ac:dyDescent="0.25">
      <c r="A21" s="6" t="str">
        <f t="shared" si="0"/>
        <v> AHSB 6.3.46 </v>
      </c>
      <c r="B21" s="7" t="str">
        <f t="shared" si="1"/>
        <v>I</v>
      </c>
      <c r="C21" s="6">
        <f t="shared" si="2"/>
        <v>36815.375</v>
      </c>
      <c r="D21" s="4" t="str">
        <f t="shared" si="3"/>
        <v>vis</v>
      </c>
      <c r="E21" s="16">
        <f>VLOOKUP(C21,Active!C$21:E$973,3,FALSE)</f>
        <v>466.00221645425637</v>
      </c>
      <c r="F21" s="7" t="s">
        <v>53</v>
      </c>
      <c r="G21" s="4" t="str">
        <f t="shared" si="4"/>
        <v>36815.375</v>
      </c>
      <c r="H21" s="6">
        <f t="shared" si="5"/>
        <v>466</v>
      </c>
      <c r="I21" s="17" t="s">
        <v>76</v>
      </c>
      <c r="J21" s="18" t="s">
        <v>77</v>
      </c>
      <c r="K21" s="17">
        <v>466</v>
      </c>
      <c r="L21" s="17" t="s">
        <v>69</v>
      </c>
      <c r="M21" s="18" t="s">
        <v>58</v>
      </c>
      <c r="N21" s="18"/>
      <c r="O21" s="19" t="s">
        <v>59</v>
      </c>
      <c r="P21" s="19" t="s">
        <v>60</v>
      </c>
    </row>
    <row r="22" spans="1:16" x14ac:dyDescent="0.2">
      <c r="B22" s="7"/>
      <c r="E22" s="16"/>
      <c r="F22" s="7"/>
    </row>
    <row r="23" spans="1:16" x14ac:dyDescent="0.2">
      <c r="B23" s="7"/>
      <c r="E23" s="16"/>
      <c r="F23" s="7"/>
    </row>
    <row r="24" spans="1:16" x14ac:dyDescent="0.2">
      <c r="B24" s="7"/>
      <c r="E24" s="16"/>
      <c r="F24" s="7"/>
    </row>
    <row r="25" spans="1:16" x14ac:dyDescent="0.2">
      <c r="B25" s="7"/>
      <c r="E25" s="16"/>
      <c r="F25" s="7"/>
    </row>
    <row r="26" spans="1:16" x14ac:dyDescent="0.2">
      <c r="B26" s="7"/>
      <c r="E26" s="16"/>
      <c r="F26" s="7"/>
    </row>
    <row r="27" spans="1:16" x14ac:dyDescent="0.2">
      <c r="B27" s="7"/>
      <c r="E27" s="16"/>
      <c r="F27" s="7"/>
    </row>
    <row r="28" spans="1:16" x14ac:dyDescent="0.2">
      <c r="B28" s="7"/>
      <c r="E28" s="16"/>
      <c r="F28" s="7"/>
    </row>
    <row r="29" spans="1:16" x14ac:dyDescent="0.2">
      <c r="B29" s="7"/>
      <c r="E29" s="16"/>
      <c r="F29" s="7"/>
    </row>
    <row r="30" spans="1:16" x14ac:dyDescent="0.2">
      <c r="B30" s="7"/>
      <c r="E30" s="16"/>
      <c r="F30" s="7"/>
    </row>
    <row r="31" spans="1:16" x14ac:dyDescent="0.2">
      <c r="B31" s="7"/>
      <c r="E31" s="16"/>
      <c r="F31" s="7"/>
    </row>
    <row r="32" spans="1:16" x14ac:dyDescent="0.2">
      <c r="B32" s="7"/>
      <c r="E32" s="16"/>
      <c r="F32" s="7"/>
    </row>
    <row r="33" spans="2:6" x14ac:dyDescent="0.2">
      <c r="B33" s="7"/>
      <c r="E33" s="16"/>
      <c r="F33" s="7"/>
    </row>
    <row r="34" spans="2:6" x14ac:dyDescent="0.2">
      <c r="B34" s="7"/>
      <c r="E34" s="16"/>
      <c r="F34" s="7"/>
    </row>
    <row r="35" spans="2:6" x14ac:dyDescent="0.2">
      <c r="B35" s="7"/>
      <c r="E35" s="16"/>
      <c r="F35" s="7"/>
    </row>
    <row r="36" spans="2:6" x14ac:dyDescent="0.2">
      <c r="B36" s="7"/>
      <c r="F36" s="7"/>
    </row>
    <row r="37" spans="2:6" x14ac:dyDescent="0.2">
      <c r="B37" s="7"/>
      <c r="F37" s="7"/>
    </row>
    <row r="38" spans="2:6" x14ac:dyDescent="0.2">
      <c r="B38" s="7"/>
      <c r="F38" s="7"/>
    </row>
    <row r="39" spans="2:6" x14ac:dyDescent="0.2">
      <c r="B39" s="7"/>
      <c r="F39" s="7"/>
    </row>
    <row r="40" spans="2:6" x14ac:dyDescent="0.2">
      <c r="B40" s="7"/>
      <c r="F40" s="7"/>
    </row>
    <row r="41" spans="2:6" x14ac:dyDescent="0.2">
      <c r="B41" s="7"/>
      <c r="F41" s="7"/>
    </row>
    <row r="42" spans="2:6" x14ac:dyDescent="0.2">
      <c r="B42" s="7"/>
      <c r="F42" s="7"/>
    </row>
    <row r="43" spans="2:6" x14ac:dyDescent="0.2">
      <c r="B43" s="7"/>
      <c r="F43" s="7"/>
    </row>
    <row r="44" spans="2:6" x14ac:dyDescent="0.2">
      <c r="B44" s="7"/>
      <c r="F44" s="7"/>
    </row>
    <row r="45" spans="2:6" x14ac:dyDescent="0.2">
      <c r="B45" s="7"/>
      <c r="F45" s="7"/>
    </row>
    <row r="46" spans="2:6" x14ac:dyDescent="0.2">
      <c r="B46" s="7"/>
      <c r="F46" s="7"/>
    </row>
    <row r="47" spans="2:6" x14ac:dyDescent="0.2">
      <c r="B47" s="7"/>
      <c r="F47" s="7"/>
    </row>
    <row r="48" spans="2:6" x14ac:dyDescent="0.2">
      <c r="B48" s="7"/>
      <c r="F48" s="7"/>
    </row>
    <row r="49" spans="2:6" x14ac:dyDescent="0.2">
      <c r="B49" s="7"/>
      <c r="F49" s="7"/>
    </row>
    <row r="50" spans="2:6" x14ac:dyDescent="0.2">
      <c r="B50" s="7"/>
      <c r="F50" s="7"/>
    </row>
    <row r="51" spans="2:6" x14ac:dyDescent="0.2">
      <c r="B51" s="7"/>
      <c r="F51" s="7"/>
    </row>
    <row r="52" spans="2:6" x14ac:dyDescent="0.2">
      <c r="B52" s="7"/>
      <c r="F52" s="7"/>
    </row>
    <row r="53" spans="2:6" x14ac:dyDescent="0.2">
      <c r="B53" s="7"/>
      <c r="F53" s="7"/>
    </row>
    <row r="54" spans="2:6" x14ac:dyDescent="0.2">
      <c r="B54" s="7"/>
      <c r="F54" s="7"/>
    </row>
    <row r="55" spans="2:6" x14ac:dyDescent="0.2">
      <c r="B55" s="7"/>
      <c r="F55" s="7"/>
    </row>
    <row r="56" spans="2:6" x14ac:dyDescent="0.2">
      <c r="B56" s="7"/>
      <c r="F56" s="7"/>
    </row>
    <row r="57" spans="2:6" x14ac:dyDescent="0.2">
      <c r="B57" s="7"/>
      <c r="F57" s="7"/>
    </row>
    <row r="58" spans="2:6" x14ac:dyDescent="0.2">
      <c r="B58" s="7"/>
      <c r="F58" s="7"/>
    </row>
    <row r="59" spans="2:6" x14ac:dyDescent="0.2">
      <c r="B59" s="7"/>
      <c r="F59" s="7"/>
    </row>
    <row r="60" spans="2:6" x14ac:dyDescent="0.2">
      <c r="B60" s="7"/>
      <c r="F60" s="7"/>
    </row>
    <row r="61" spans="2:6" x14ac:dyDescent="0.2">
      <c r="B61" s="7"/>
      <c r="F61" s="7"/>
    </row>
    <row r="62" spans="2:6" x14ac:dyDescent="0.2">
      <c r="B62" s="7"/>
      <c r="F62" s="7"/>
    </row>
    <row r="63" spans="2:6" x14ac:dyDescent="0.2">
      <c r="B63" s="7"/>
      <c r="F63" s="7"/>
    </row>
    <row r="64" spans="2:6" x14ac:dyDescent="0.2">
      <c r="B64" s="7"/>
      <c r="F64" s="7"/>
    </row>
    <row r="65" spans="2:6" x14ac:dyDescent="0.2">
      <c r="B65" s="7"/>
      <c r="F65" s="7"/>
    </row>
    <row r="66" spans="2:6" x14ac:dyDescent="0.2">
      <c r="B66" s="7"/>
      <c r="F66" s="7"/>
    </row>
    <row r="67" spans="2:6" x14ac:dyDescent="0.2">
      <c r="B67" s="7"/>
      <c r="F67" s="7"/>
    </row>
    <row r="68" spans="2:6" x14ac:dyDescent="0.2">
      <c r="B68" s="7"/>
      <c r="F68" s="7"/>
    </row>
    <row r="69" spans="2:6" x14ac:dyDescent="0.2">
      <c r="B69" s="7"/>
      <c r="F69" s="7"/>
    </row>
    <row r="70" spans="2:6" x14ac:dyDescent="0.2">
      <c r="B70" s="7"/>
      <c r="F70" s="7"/>
    </row>
    <row r="71" spans="2:6" x14ac:dyDescent="0.2">
      <c r="B71" s="7"/>
      <c r="F71" s="7"/>
    </row>
    <row r="72" spans="2:6" x14ac:dyDescent="0.2">
      <c r="B72" s="7"/>
      <c r="F72" s="7"/>
    </row>
    <row r="73" spans="2:6" x14ac:dyDescent="0.2">
      <c r="B73" s="7"/>
      <c r="F73" s="7"/>
    </row>
    <row r="74" spans="2:6" x14ac:dyDescent="0.2">
      <c r="B74" s="7"/>
      <c r="F74" s="7"/>
    </row>
    <row r="75" spans="2:6" x14ac:dyDescent="0.2">
      <c r="B75" s="7"/>
      <c r="F75" s="7"/>
    </row>
    <row r="76" spans="2:6" x14ac:dyDescent="0.2">
      <c r="B76" s="7"/>
      <c r="F76" s="7"/>
    </row>
    <row r="77" spans="2:6" x14ac:dyDescent="0.2">
      <c r="B77" s="7"/>
      <c r="F77" s="7"/>
    </row>
    <row r="78" spans="2:6" x14ac:dyDescent="0.2">
      <c r="B78" s="7"/>
      <c r="F78" s="7"/>
    </row>
    <row r="79" spans="2:6" x14ac:dyDescent="0.2">
      <c r="B79" s="7"/>
      <c r="F79" s="7"/>
    </row>
    <row r="80" spans="2:6" x14ac:dyDescent="0.2">
      <c r="B80" s="7"/>
      <c r="F80" s="7"/>
    </row>
    <row r="81" spans="2:6" x14ac:dyDescent="0.2">
      <c r="B81" s="7"/>
      <c r="F81" s="7"/>
    </row>
    <row r="82" spans="2:6" x14ac:dyDescent="0.2">
      <c r="B82" s="7"/>
      <c r="F82" s="7"/>
    </row>
    <row r="83" spans="2:6" x14ac:dyDescent="0.2">
      <c r="B83" s="7"/>
      <c r="F83" s="7"/>
    </row>
    <row r="84" spans="2:6" x14ac:dyDescent="0.2">
      <c r="B84" s="7"/>
      <c r="F84" s="7"/>
    </row>
    <row r="85" spans="2:6" x14ac:dyDescent="0.2">
      <c r="B85" s="7"/>
      <c r="F85" s="7"/>
    </row>
    <row r="86" spans="2:6" x14ac:dyDescent="0.2">
      <c r="B86" s="7"/>
      <c r="F86" s="7"/>
    </row>
    <row r="87" spans="2:6" x14ac:dyDescent="0.2">
      <c r="B87" s="7"/>
      <c r="F87" s="7"/>
    </row>
    <row r="88" spans="2:6" x14ac:dyDescent="0.2">
      <c r="B88" s="7"/>
      <c r="F88" s="7"/>
    </row>
    <row r="89" spans="2:6" x14ac:dyDescent="0.2">
      <c r="B89" s="7"/>
      <c r="F89" s="7"/>
    </row>
    <row r="90" spans="2:6" x14ac:dyDescent="0.2">
      <c r="B90" s="7"/>
      <c r="F90" s="7"/>
    </row>
    <row r="91" spans="2:6" x14ac:dyDescent="0.2">
      <c r="B91" s="7"/>
      <c r="F91" s="7"/>
    </row>
    <row r="92" spans="2:6" x14ac:dyDescent="0.2">
      <c r="B92" s="7"/>
      <c r="F92" s="7"/>
    </row>
    <row r="93" spans="2:6" x14ac:dyDescent="0.2">
      <c r="B93" s="7"/>
      <c r="F93" s="7"/>
    </row>
    <row r="94" spans="2:6" x14ac:dyDescent="0.2">
      <c r="B94" s="7"/>
      <c r="F94" s="7"/>
    </row>
    <row r="95" spans="2:6" x14ac:dyDescent="0.2">
      <c r="B95" s="7"/>
      <c r="F95" s="7"/>
    </row>
    <row r="96" spans="2: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  <row r="799" spans="2:6" x14ac:dyDescent="0.2">
      <c r="B799" s="7"/>
      <c r="F799" s="7"/>
    </row>
    <row r="800" spans="2:6" x14ac:dyDescent="0.2">
      <c r="B800" s="7"/>
      <c r="F800" s="7"/>
    </row>
    <row r="801" spans="2:6" x14ac:dyDescent="0.2">
      <c r="B801" s="7"/>
      <c r="F801" s="7"/>
    </row>
    <row r="802" spans="2:6" x14ac:dyDescent="0.2">
      <c r="B802" s="7"/>
      <c r="F802" s="7"/>
    </row>
    <row r="803" spans="2:6" x14ac:dyDescent="0.2">
      <c r="B803" s="7"/>
      <c r="F803" s="7"/>
    </row>
    <row r="804" spans="2:6" x14ac:dyDescent="0.2">
      <c r="B804" s="7"/>
      <c r="F804" s="7"/>
    </row>
    <row r="805" spans="2:6" x14ac:dyDescent="0.2">
      <c r="B805" s="7"/>
      <c r="F805" s="7"/>
    </row>
    <row r="806" spans="2:6" x14ac:dyDescent="0.2">
      <c r="B806" s="7"/>
      <c r="F806" s="7"/>
    </row>
    <row r="807" spans="2:6" x14ac:dyDescent="0.2">
      <c r="B807" s="7"/>
      <c r="F807" s="7"/>
    </row>
    <row r="808" spans="2:6" x14ac:dyDescent="0.2">
      <c r="B808" s="7"/>
      <c r="F808" s="7"/>
    </row>
    <row r="809" spans="2:6" x14ac:dyDescent="0.2">
      <c r="B809" s="7"/>
      <c r="F809" s="7"/>
    </row>
    <row r="810" spans="2:6" x14ac:dyDescent="0.2">
      <c r="B810" s="7"/>
      <c r="F810" s="7"/>
    </row>
    <row r="811" spans="2:6" x14ac:dyDescent="0.2">
      <c r="B811" s="7"/>
      <c r="F811" s="7"/>
    </row>
    <row r="812" spans="2:6" x14ac:dyDescent="0.2">
      <c r="B812" s="7"/>
      <c r="F812" s="7"/>
    </row>
    <row r="813" spans="2:6" x14ac:dyDescent="0.2">
      <c r="B813" s="7"/>
      <c r="F813" s="7"/>
    </row>
    <row r="814" spans="2:6" x14ac:dyDescent="0.2">
      <c r="B814" s="7"/>
      <c r="F814" s="7"/>
    </row>
    <row r="815" spans="2:6" x14ac:dyDescent="0.2">
      <c r="B815" s="7"/>
      <c r="F815" s="7"/>
    </row>
    <row r="816" spans="2:6" x14ac:dyDescent="0.2">
      <c r="B816" s="7"/>
      <c r="F816" s="7"/>
    </row>
    <row r="817" spans="2:6" x14ac:dyDescent="0.2">
      <c r="B817" s="7"/>
      <c r="F817" s="7"/>
    </row>
    <row r="818" spans="2:6" x14ac:dyDescent="0.2">
      <c r="B818" s="7"/>
      <c r="F818" s="7"/>
    </row>
    <row r="819" spans="2:6" x14ac:dyDescent="0.2">
      <c r="B819" s="7"/>
      <c r="F819" s="7"/>
    </row>
    <row r="820" spans="2:6" x14ac:dyDescent="0.2">
      <c r="B820" s="7"/>
      <c r="F820" s="7"/>
    </row>
    <row r="821" spans="2:6" x14ac:dyDescent="0.2">
      <c r="B821" s="7"/>
      <c r="F821" s="7"/>
    </row>
    <row r="822" spans="2:6" x14ac:dyDescent="0.2">
      <c r="B822" s="7"/>
      <c r="F822" s="7"/>
    </row>
    <row r="823" spans="2:6" x14ac:dyDescent="0.2">
      <c r="B823" s="7"/>
      <c r="F823" s="7"/>
    </row>
  </sheetData>
  <phoneticPr fontId="7" type="noConversion"/>
  <hyperlinks>
    <hyperlink ref="P11" r:id="rId1" display="http://www.konkoly.hu/cgi-bin/IBVS?5583"/>
    <hyperlink ref="P12" r:id="rId2" display="http://www.bav-astro.de/sfs/BAVM_link.php?BAVMnr=178"/>
    <hyperlink ref="P13" r:id="rId3" display="http://www.bav-astro.de/sfs/BAVM_link.php?BAVMnr=220"/>
    <hyperlink ref="P14" r:id="rId4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2024-03-10T02:24:59Z</dcterms:modified>
</cp:coreProperties>
</file>