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303FA66-0B40-46FF-8E7F-8FAF6B13AD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C27" i="1" l="1"/>
  <c r="E27" i="1" s="1"/>
  <c r="F27" i="1" s="1"/>
  <c r="G27" i="1" s="1"/>
  <c r="I27" i="1" s="1"/>
  <c r="A27" i="1"/>
  <c r="F14" i="1"/>
  <c r="Q27" i="1" l="1"/>
  <c r="F15" i="1"/>
  <c r="Q34" i="1" l="1"/>
  <c r="D9" i="1"/>
  <c r="C9" i="1"/>
  <c r="Q33" i="1"/>
  <c r="Q32" i="1"/>
  <c r="Q31" i="1"/>
  <c r="Q30" i="1"/>
  <c r="Q29" i="1"/>
  <c r="Q28" i="1"/>
  <c r="Q26" i="1"/>
  <c r="Q25" i="1"/>
  <c r="Q24" i="1"/>
  <c r="Q23" i="1"/>
  <c r="Q22" i="1"/>
  <c r="Q21" i="1"/>
  <c r="G14" i="2"/>
  <c r="C14" i="2"/>
  <c r="G13" i="2"/>
  <c r="C13" i="2"/>
  <c r="G12" i="2"/>
  <c r="C12" i="2"/>
  <c r="G11" i="2"/>
  <c r="C11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Q38" i="1"/>
  <c r="Q39" i="1"/>
  <c r="Q36" i="1"/>
  <c r="Q37" i="1"/>
  <c r="D4" i="1"/>
  <c r="C4" i="1"/>
  <c r="B2" i="1"/>
  <c r="Q35" i="1"/>
  <c r="C17" i="1"/>
  <c r="E20" i="2"/>
  <c r="E26" i="1"/>
  <c r="F26" i="1" s="1"/>
  <c r="G26" i="1" s="1"/>
  <c r="I26" i="1" s="1"/>
  <c r="E35" i="1"/>
  <c r="F35" i="1" s="1"/>
  <c r="G35" i="1" s="1"/>
  <c r="H35" i="1" s="1"/>
  <c r="E21" i="1"/>
  <c r="F21" i="1" s="1"/>
  <c r="G21" i="1" s="1"/>
  <c r="I21" i="1" s="1"/>
  <c r="E30" i="1"/>
  <c r="F30" i="1" s="1"/>
  <c r="G30" i="1" s="1"/>
  <c r="I30" i="1" s="1"/>
  <c r="E38" i="1"/>
  <c r="F38" i="1" s="1"/>
  <c r="G38" i="1" s="1"/>
  <c r="K38" i="1" s="1"/>
  <c r="E24" i="1"/>
  <c r="F24" i="1" s="1"/>
  <c r="G24" i="1" s="1"/>
  <c r="I24" i="1" s="1"/>
  <c r="E33" i="1"/>
  <c r="F33" i="1" s="1"/>
  <c r="G33" i="1" s="1"/>
  <c r="I33" i="1" s="1"/>
  <c r="E28" i="1"/>
  <c r="F28" i="1" s="1"/>
  <c r="G28" i="1" s="1"/>
  <c r="I28" i="1" s="1"/>
  <c r="E36" i="1"/>
  <c r="F36" i="1" s="1"/>
  <c r="G36" i="1" s="1"/>
  <c r="K36" i="1" s="1"/>
  <c r="E22" i="1"/>
  <c r="E16" i="2" s="1"/>
  <c r="E31" i="1"/>
  <c r="F31" i="1" s="1"/>
  <c r="G31" i="1" s="1"/>
  <c r="I31" i="1" s="1"/>
  <c r="E39" i="1"/>
  <c r="F39" i="1" s="1"/>
  <c r="G39" i="1" s="1"/>
  <c r="K39" i="1" s="1"/>
  <c r="E25" i="1"/>
  <c r="E19" i="2" s="1"/>
  <c r="E34" i="1"/>
  <c r="F34" i="1" s="1"/>
  <c r="G34" i="1" s="1"/>
  <c r="I34" i="1" s="1"/>
  <c r="E29" i="1"/>
  <c r="E22" i="2" s="1"/>
  <c r="E37" i="1"/>
  <c r="F37" i="1" s="1"/>
  <c r="G37" i="1" s="1"/>
  <c r="K37" i="1" s="1"/>
  <c r="E23" i="1"/>
  <c r="E17" i="2" s="1"/>
  <c r="F23" i="1"/>
  <c r="G23" i="1" s="1"/>
  <c r="I23" i="1" s="1"/>
  <c r="E32" i="1"/>
  <c r="F32" i="1" s="1"/>
  <c r="G32" i="1" s="1"/>
  <c r="I32" i="1" s="1"/>
  <c r="E27" i="2"/>
  <c r="E18" i="2"/>
  <c r="E21" i="2"/>
  <c r="C12" i="1"/>
  <c r="C11" i="1"/>
  <c r="E13" i="2" l="1"/>
  <c r="E14" i="2"/>
  <c r="E24" i="2"/>
  <c r="O27" i="1"/>
  <c r="E23" i="2"/>
  <c r="F29" i="1"/>
  <c r="G29" i="1" s="1"/>
  <c r="I29" i="1" s="1"/>
  <c r="E25" i="2"/>
  <c r="E12" i="2"/>
  <c r="E11" i="2"/>
  <c r="E15" i="2"/>
  <c r="F22" i="1"/>
  <c r="G22" i="1" s="1"/>
  <c r="I22" i="1" s="1"/>
  <c r="E26" i="2"/>
  <c r="F25" i="1"/>
  <c r="G25" i="1" s="1"/>
  <c r="I25" i="1" s="1"/>
  <c r="O34" i="1"/>
  <c r="O38" i="1"/>
  <c r="O26" i="1"/>
  <c r="O31" i="1"/>
  <c r="O21" i="1"/>
  <c r="O39" i="1"/>
  <c r="O33" i="1"/>
  <c r="O24" i="1"/>
  <c r="O30" i="1"/>
  <c r="O32" i="1"/>
  <c r="O36" i="1"/>
  <c r="O23" i="1"/>
  <c r="O28" i="1"/>
  <c r="O37" i="1"/>
  <c r="O35" i="1"/>
  <c r="C16" i="1"/>
  <c r="D18" i="1" s="1"/>
  <c r="O29" i="1" l="1"/>
  <c r="C15" i="1"/>
  <c r="F16" i="1" s="1"/>
  <c r="F18" i="1" s="1"/>
  <c r="O22" i="1"/>
  <c r="O25" i="1"/>
  <c r="C18" i="1" l="1"/>
  <c r="F17" i="1"/>
</calcChain>
</file>

<file path=xl/sharedStrings.xml><?xml version="1.0" encoding="utf-8"?>
<sst xmlns="http://schemas.openxmlformats.org/spreadsheetml/2006/main" count="219" uniqueCount="127">
  <si>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</si>
  <si>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</si>
  <si>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</si>
  <si>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</si>
  <si>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</si>
  <si>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</si>
  <si>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</si>
  <si>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</si>
  <si>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</si>
  <si>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</si>
  <si>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</si>
  <si>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</si>
  <si>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</si>
  <si>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</si>
  <si>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</si>
  <si>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</si>
  <si>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</si>
  <si>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</si>
  <si>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</si>
  <si>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</si>
  <si>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</si>
  <si>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</si>
  <si>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</si>
  <si>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</si>
  <si>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</si>
  <si>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</si>
  <si>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</si>
  <si>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</si>
  <si>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</si>
  <si>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</si>
  <si>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</si>
  <si>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</si>
  <si>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I</t>
  </si>
  <si>
    <t>Kreiner</t>
  </si>
  <si>
    <t>Kreiner Eph.</t>
  </si>
  <si>
    <t xml:space="preserve">GN Vul / GSC 2147-1110 </t>
  </si>
  <si>
    <t>EA</t>
  </si>
  <si>
    <t>IBVS 5588</t>
  </si>
  <si>
    <t>IBVS 5731</t>
  </si>
  <si>
    <t>IBVS 6070</t>
  </si>
  <si>
    <t>OEJV 0160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</si>
  <si>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</si>
  <si>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</si>
  <si>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</si>
  <si>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</si>
  <si>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</si>
  <si>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</si>
  <si>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</si>
  <si>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</si>
  <si>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</si>
  <si>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</si>
  <si>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</si>
  <si>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2434239.445 </t>
  </si>
  <si>
    <t> 14.08.1952 22:40 </t>
  </si>
  <si>
    <t> -0.031 </t>
  </si>
  <si>
    <t>P </t>
  </si>
  <si>
    <t> A.A.Wachmann </t>
  </si>
  <si>
    <t> AHSB 6.3.56 </t>
  </si>
  <si>
    <t>2434602.410 </t>
  </si>
  <si>
    <t> 12.08.1953 21:50 </t>
  </si>
  <si>
    <t> 0.004 </t>
  </si>
  <si>
    <t>2434604.400 </t>
  </si>
  <si>
    <t> 14.08.1953 21:36 </t>
  </si>
  <si>
    <t> 0.022 </t>
  </si>
  <si>
    <t>2435044.255 </t>
  </si>
  <si>
    <t> 28.10.1954 18:07 </t>
  </si>
  <si>
    <t>2435310.490 </t>
  </si>
  <si>
    <t> 21.07.1955 23:45 </t>
  </si>
  <si>
    <t> -0.023 </t>
  </si>
  <si>
    <t>2435391.350 </t>
  </si>
  <si>
    <t> 10.10.1955 20:24 </t>
  </si>
  <si>
    <t> -0.033 </t>
  </si>
  <si>
    <t>2435399.310 </t>
  </si>
  <si>
    <t> 18.10.1955 19:26 </t>
  </si>
  <si>
    <t> 0.037 </t>
  </si>
  <si>
    <t>2436813.525 </t>
  </si>
  <si>
    <t> 02.09.1959 00:36 </t>
  </si>
  <si>
    <t> 0.010 </t>
  </si>
  <si>
    <t>2436815.480 </t>
  </si>
  <si>
    <t> 03.09.1959 23:31 </t>
  </si>
  <si>
    <t> -0.008 </t>
  </si>
  <si>
    <t>2436817.445 </t>
  </si>
  <si>
    <t> 05.09.1959 22:40 </t>
  </si>
  <si>
    <t> -0.015 </t>
  </si>
  <si>
    <t>2436819.445 </t>
  </si>
  <si>
    <t> 07.09.1959 22:40 </t>
  </si>
  <si>
    <t> 0.012 </t>
  </si>
  <si>
    <t>2436902.285 </t>
  </si>
  <si>
    <t> 29.11.1959 18:50 </t>
  </si>
  <si>
    <t>2437174.460 </t>
  </si>
  <si>
    <t> 27.08.1960 23:02 </t>
  </si>
  <si>
    <t> -0.013 </t>
  </si>
  <si>
    <t>2452506.328 </t>
  </si>
  <si>
    <t> 19.08.2002 19:52 </t>
  </si>
  <si>
    <t> 0.047 </t>
  </si>
  <si>
    <t>E </t>
  </si>
  <si>
    <t>?</t>
  </si>
  <si>
    <t> Sarounova &amp; Wolf </t>
  </si>
  <si>
    <t>IBVS 5594 </t>
  </si>
  <si>
    <t>2453650.3419 </t>
  </si>
  <si>
    <t> 06.10.2005 20:12 </t>
  </si>
  <si>
    <t> 0.0436 </t>
  </si>
  <si>
    <t>C </t>
  </si>
  <si>
    <t>-I</t>
  </si>
  <si>
    <t> Agerer </t>
  </si>
  <si>
    <t>BAVM 178 </t>
  </si>
  <si>
    <t>2456074.4725 </t>
  </si>
  <si>
    <t> 26.05.2012 23:20 </t>
  </si>
  <si>
    <t>10482</t>
  </si>
  <si>
    <t> 0.0404 </t>
  </si>
  <si>
    <t> F.Agerer </t>
  </si>
  <si>
    <t>BAVM 231 </t>
  </si>
  <si>
    <t>2456153.37279 </t>
  </si>
  <si>
    <t> 13.08.2012 20:56 </t>
  </si>
  <si>
    <t>10522</t>
  </si>
  <si>
    <t> 0.04297 </t>
  </si>
  <si>
    <t> M.Moudra </t>
  </si>
  <si>
    <t>OEJV 0160 </t>
  </si>
  <si>
    <t>PE?</t>
  </si>
  <si>
    <t>Add cycle</t>
  </si>
  <si>
    <t>Old Cycle</t>
  </si>
  <si>
    <t>Next ToM-P</t>
  </si>
  <si>
    <t>Next ToM-S</t>
  </si>
  <si>
    <t>12.3-12.9</t>
  </si>
  <si>
    <t xml:space="preserve">Mag p </t>
  </si>
  <si>
    <t>VSX</t>
  </si>
  <si>
    <t>AHSB 6.3.56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</si>
</sst>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7030A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1" applyNumberFormat="0" applyFont="0" applyFill="0" applyAlignment="0" applyProtection="0"/>
  </cellStyleXfs>
  <cellXfs count="6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7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7" fillId="2" borderId="11" xfId="7" applyFill="1" applyBorder="1" applyAlignment="1" applyProtection="1">
      <alignment horizontal="right" vertical="top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22" fontId="20" fillId="0" borderId="0" xfId="0" applyNumberFormat="1" applyFont="1" applyAlignment="1">
      <alignment horizontal="right"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5" fillId="0" borderId="0" xfId="0" applyFont="1">
      <alignment vertical="top"/>
    </xf>
    <xf numFmtId="0" fontId="22" fillId="0" borderId="14" xfId="0" applyFont="1" applyBorder="1" applyAlignment="1">
      <alignment horizontal="right" vertical="center"/>
    </xf>
    <xf numFmtId="0" fontId="21" fillId="0" borderId="15" xfId="0" applyFont="1" applyBorder="1" applyAlignment="1">
      <alignment vertical="center"/>
    </xf>
    <xf numFmtId="0" fontId="20" fillId="0" borderId="15" xfId="0" applyFont="1" applyBorder="1" applyAlignment="1">
      <alignment vertical="center"/>
    </xf>
    <xf numFmtId="0" fontId="20" fillId="0" borderId="15" xfId="0" applyFont="1" applyBorder="1" applyAlignment="1">
      <alignment horizontal="right" vertical="center"/>
    </xf>
    <xf numFmtId="22" fontId="20" fillId="0" borderId="15" xfId="0" applyNumberFormat="1" applyFont="1" applyBorder="1" applyAlignment="1">
      <alignment horizontal="right" vertical="center"/>
    </xf>
    <xf numFmtId="22" fontId="20" fillId="0" borderId="16" xfId="0" applyNumberFormat="1" applyFont="1" applyBorder="1" applyAlignment="1">
      <alignment horizontal="right" vertical="center"/>
    </xf>
    <xf numFmtId="0" fontId="22" fillId="0" borderId="17" xfId="0" applyFont="1" applyBorder="1" applyAlignment="1">
      <alignment horizontal="right" vertical="center"/>
    </xf>
    <xf numFmtId="0" fontId="19" fillId="3" borderId="12" xfId="0" applyFont="1" applyFill="1" applyBorder="1" applyAlignment="1">
      <alignment horizontal="right" vertical="center"/>
    </xf>
    <xf numFmtId="0" fontId="19" fillId="3" borderId="13" xfId="0" applyFont="1" applyFill="1" applyBorder="1" applyAlignment="1">
      <alignment horizontal="center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GN Vul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15">
                    <c:v>1E-3</c:v>
                  </c:pt>
                  <c:pt idx="16">
                    <c:v>2.2000000000000001E-3</c:v>
                  </c:pt>
                  <c:pt idx="17">
                    <c:v>7.3000000000000001E-3</c:v>
                  </c:pt>
                  <c:pt idx="18">
                    <c:v>1.9E-3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15">
                    <c:v>1E-3</c:v>
                  </c:pt>
                  <c:pt idx="16">
                    <c:v>2.2000000000000001E-3</c:v>
                  </c:pt>
                  <c:pt idx="17">
                    <c:v>7.3000000000000001E-3</c:v>
                  </c:pt>
                  <c:pt idx="18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-588</c:v>
                </c:pt>
                <c:pt idx="1">
                  <c:v>-404</c:v>
                </c:pt>
                <c:pt idx="2">
                  <c:v>-403</c:v>
                </c:pt>
                <c:pt idx="3">
                  <c:v>-180</c:v>
                </c:pt>
                <c:pt idx="4">
                  <c:v>-45</c:v>
                </c:pt>
                <c:pt idx="5">
                  <c:v>-4</c:v>
                </c:pt>
                <c:pt idx="6">
                  <c:v>0</c:v>
                </c:pt>
                <c:pt idx="7">
                  <c:v>0</c:v>
                </c:pt>
                <c:pt idx="8">
                  <c:v>717</c:v>
                </c:pt>
                <c:pt idx="9">
                  <c:v>718</c:v>
                </c:pt>
                <c:pt idx="10">
                  <c:v>719</c:v>
                </c:pt>
                <c:pt idx="11">
                  <c:v>720</c:v>
                </c:pt>
                <c:pt idx="12">
                  <c:v>762</c:v>
                </c:pt>
                <c:pt idx="13">
                  <c:v>900</c:v>
                </c:pt>
                <c:pt idx="14">
                  <c:v>8670</c:v>
                </c:pt>
                <c:pt idx="15">
                  <c:v>8673</c:v>
                </c:pt>
                <c:pt idx="16">
                  <c:v>9253</c:v>
                </c:pt>
                <c:pt idx="17">
                  <c:v>10482</c:v>
                </c:pt>
                <c:pt idx="18">
                  <c:v>10522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14">
                  <c:v>4.6653000004880596E-2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97-49AA-877E-1F53A67305E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5">
                    <c:v>1E-3</c:v>
                  </c:pt>
                  <c:pt idx="16">
                    <c:v>2.2000000000000001E-3</c:v>
                  </c:pt>
                  <c:pt idx="17">
                    <c:v>7.3000000000000001E-3</c:v>
                  </c:pt>
                  <c:pt idx="18">
                    <c:v>1.9E-3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5">
                    <c:v>1E-3</c:v>
                  </c:pt>
                  <c:pt idx="16">
                    <c:v>2.2000000000000001E-3</c:v>
                  </c:pt>
                  <c:pt idx="17">
                    <c:v>7.3000000000000001E-3</c:v>
                  </c:pt>
                  <c:pt idx="18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-588</c:v>
                </c:pt>
                <c:pt idx="1">
                  <c:v>-404</c:v>
                </c:pt>
                <c:pt idx="2">
                  <c:v>-403</c:v>
                </c:pt>
                <c:pt idx="3">
                  <c:v>-180</c:v>
                </c:pt>
                <c:pt idx="4">
                  <c:v>-45</c:v>
                </c:pt>
                <c:pt idx="5">
                  <c:v>-4</c:v>
                </c:pt>
                <c:pt idx="6">
                  <c:v>0</c:v>
                </c:pt>
                <c:pt idx="7">
                  <c:v>0</c:v>
                </c:pt>
                <c:pt idx="8">
                  <c:v>717</c:v>
                </c:pt>
                <c:pt idx="9">
                  <c:v>718</c:v>
                </c:pt>
                <c:pt idx="10">
                  <c:v>719</c:v>
                </c:pt>
                <c:pt idx="11">
                  <c:v>720</c:v>
                </c:pt>
                <c:pt idx="12">
                  <c:v>762</c:v>
                </c:pt>
                <c:pt idx="13">
                  <c:v>900</c:v>
                </c:pt>
                <c:pt idx="14">
                  <c:v>8670</c:v>
                </c:pt>
                <c:pt idx="15">
                  <c:v>8673</c:v>
                </c:pt>
                <c:pt idx="16">
                  <c:v>9253</c:v>
                </c:pt>
                <c:pt idx="17">
                  <c:v>10482</c:v>
                </c:pt>
                <c:pt idx="18">
                  <c:v>10522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0">
                  <c:v>-3.0869200003508013E-2</c:v>
                </c:pt>
                <c:pt idx="1">
                  <c:v>4.4163999991724268E-3</c:v>
                </c:pt>
                <c:pt idx="2">
                  <c:v>2.1972299997287337E-2</c:v>
                </c:pt>
                <c:pt idx="3">
                  <c:v>2.1937999998044688E-2</c:v>
                </c:pt>
                <c:pt idx="4">
                  <c:v>-2.3015500002657063E-2</c:v>
                </c:pt>
                <c:pt idx="5">
                  <c:v>-3.3223600003111642E-2</c:v>
                </c:pt>
                <c:pt idx="6">
                  <c:v>0</c:v>
                </c:pt>
                <c:pt idx="7">
                  <c:v>3.6999999996623956E-2</c:v>
                </c:pt>
                <c:pt idx="8">
                  <c:v>9.5803000003797933E-3</c:v>
                </c:pt>
                <c:pt idx="9">
                  <c:v>-7.8637999977217987E-3</c:v>
                </c:pt>
                <c:pt idx="10">
                  <c:v>-1.530790000106208E-2</c:v>
                </c:pt>
                <c:pt idx="11">
                  <c:v>1.2247999999090098E-2</c:v>
                </c:pt>
                <c:pt idx="12">
                  <c:v>9.5958000019891188E-3</c:v>
                </c:pt>
                <c:pt idx="13">
                  <c:v>-1.269000000320375E-2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97-49AA-877E-1F53A67305E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5">
                    <c:v>1E-3</c:v>
                  </c:pt>
                  <c:pt idx="16">
                    <c:v>2.2000000000000001E-3</c:v>
                  </c:pt>
                  <c:pt idx="17">
                    <c:v>7.3000000000000001E-3</c:v>
                  </c:pt>
                  <c:pt idx="18">
                    <c:v>1.9E-3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5">
                    <c:v>1E-3</c:v>
                  </c:pt>
                  <c:pt idx="16">
                    <c:v>2.2000000000000001E-3</c:v>
                  </c:pt>
                  <c:pt idx="17">
                    <c:v>7.3000000000000001E-3</c:v>
                  </c:pt>
                  <c:pt idx="18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-588</c:v>
                </c:pt>
                <c:pt idx="1">
                  <c:v>-404</c:v>
                </c:pt>
                <c:pt idx="2">
                  <c:v>-403</c:v>
                </c:pt>
                <c:pt idx="3">
                  <c:v>-180</c:v>
                </c:pt>
                <c:pt idx="4">
                  <c:v>-45</c:v>
                </c:pt>
                <c:pt idx="5">
                  <c:v>-4</c:v>
                </c:pt>
                <c:pt idx="6">
                  <c:v>0</c:v>
                </c:pt>
                <c:pt idx="7">
                  <c:v>0</c:v>
                </c:pt>
                <c:pt idx="8">
                  <c:v>717</c:v>
                </c:pt>
                <c:pt idx="9">
                  <c:v>718</c:v>
                </c:pt>
                <c:pt idx="10">
                  <c:v>719</c:v>
                </c:pt>
                <c:pt idx="11">
                  <c:v>720</c:v>
                </c:pt>
                <c:pt idx="12">
                  <c:v>762</c:v>
                </c:pt>
                <c:pt idx="13">
                  <c:v>900</c:v>
                </c:pt>
                <c:pt idx="14">
                  <c:v>8670</c:v>
                </c:pt>
                <c:pt idx="15">
                  <c:v>8673</c:v>
                </c:pt>
                <c:pt idx="16">
                  <c:v>9253</c:v>
                </c:pt>
                <c:pt idx="17">
                  <c:v>10482</c:v>
                </c:pt>
                <c:pt idx="18">
                  <c:v>10522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097-49AA-877E-1F53A67305E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6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5">
                    <c:v>1E-3</c:v>
                  </c:pt>
                  <c:pt idx="16">
                    <c:v>2.2000000000000001E-3</c:v>
                  </c:pt>
                  <c:pt idx="17">
                    <c:v>7.3000000000000001E-3</c:v>
                  </c:pt>
                  <c:pt idx="18">
                    <c:v>1.9E-3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5">
                    <c:v>1E-3</c:v>
                  </c:pt>
                  <c:pt idx="16">
                    <c:v>2.2000000000000001E-3</c:v>
                  </c:pt>
                  <c:pt idx="17">
                    <c:v>7.3000000000000001E-3</c:v>
                  </c:pt>
                  <c:pt idx="18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-588</c:v>
                </c:pt>
                <c:pt idx="1">
                  <c:v>-404</c:v>
                </c:pt>
                <c:pt idx="2">
                  <c:v>-403</c:v>
                </c:pt>
                <c:pt idx="3">
                  <c:v>-180</c:v>
                </c:pt>
                <c:pt idx="4">
                  <c:v>-45</c:v>
                </c:pt>
                <c:pt idx="5">
                  <c:v>-4</c:v>
                </c:pt>
                <c:pt idx="6">
                  <c:v>0</c:v>
                </c:pt>
                <c:pt idx="7">
                  <c:v>0</c:v>
                </c:pt>
                <c:pt idx="8">
                  <c:v>717</c:v>
                </c:pt>
                <c:pt idx="9">
                  <c:v>718</c:v>
                </c:pt>
                <c:pt idx="10">
                  <c:v>719</c:v>
                </c:pt>
                <c:pt idx="11">
                  <c:v>720</c:v>
                </c:pt>
                <c:pt idx="12">
                  <c:v>762</c:v>
                </c:pt>
                <c:pt idx="13">
                  <c:v>900</c:v>
                </c:pt>
                <c:pt idx="14">
                  <c:v>8670</c:v>
                </c:pt>
                <c:pt idx="15">
                  <c:v>8673</c:v>
                </c:pt>
                <c:pt idx="16">
                  <c:v>9253</c:v>
                </c:pt>
                <c:pt idx="17">
                  <c:v>10482</c:v>
                </c:pt>
                <c:pt idx="18">
                  <c:v>10522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15">
                  <c:v>4.7320699995907489E-2</c:v>
                </c:pt>
                <c:pt idx="16">
                  <c:v>4.3642699994961731E-2</c:v>
                </c:pt>
                <c:pt idx="17">
                  <c:v>4.044380000414094E-2</c:v>
                </c:pt>
                <c:pt idx="18">
                  <c:v>4.296980000071926E-2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097-49AA-877E-1F53A67305E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5">
                    <c:v>1E-3</c:v>
                  </c:pt>
                  <c:pt idx="16">
                    <c:v>2.2000000000000001E-3</c:v>
                  </c:pt>
                  <c:pt idx="17">
                    <c:v>7.3000000000000001E-3</c:v>
                  </c:pt>
                  <c:pt idx="18">
                    <c:v>1.9E-3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5">
                    <c:v>1E-3</c:v>
                  </c:pt>
                  <c:pt idx="16">
                    <c:v>2.2000000000000001E-3</c:v>
                  </c:pt>
                  <c:pt idx="17">
                    <c:v>7.3000000000000001E-3</c:v>
                  </c:pt>
                  <c:pt idx="18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-588</c:v>
                </c:pt>
                <c:pt idx="1">
                  <c:v>-404</c:v>
                </c:pt>
                <c:pt idx="2">
                  <c:v>-403</c:v>
                </c:pt>
                <c:pt idx="3">
                  <c:v>-180</c:v>
                </c:pt>
                <c:pt idx="4">
                  <c:v>-45</c:v>
                </c:pt>
                <c:pt idx="5">
                  <c:v>-4</c:v>
                </c:pt>
                <c:pt idx="6">
                  <c:v>0</c:v>
                </c:pt>
                <c:pt idx="7">
                  <c:v>0</c:v>
                </c:pt>
                <c:pt idx="8">
                  <c:v>717</c:v>
                </c:pt>
                <c:pt idx="9">
                  <c:v>718</c:v>
                </c:pt>
                <c:pt idx="10">
                  <c:v>719</c:v>
                </c:pt>
                <c:pt idx="11">
                  <c:v>720</c:v>
                </c:pt>
                <c:pt idx="12">
                  <c:v>762</c:v>
                </c:pt>
                <c:pt idx="13">
                  <c:v>900</c:v>
                </c:pt>
                <c:pt idx="14">
                  <c:v>8670</c:v>
                </c:pt>
                <c:pt idx="15">
                  <c:v>8673</c:v>
                </c:pt>
                <c:pt idx="16">
                  <c:v>9253</c:v>
                </c:pt>
                <c:pt idx="17">
                  <c:v>10482</c:v>
                </c:pt>
                <c:pt idx="18">
                  <c:v>10522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097-49AA-877E-1F53A67305E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5">
                    <c:v>1E-3</c:v>
                  </c:pt>
                  <c:pt idx="16">
                    <c:v>2.2000000000000001E-3</c:v>
                  </c:pt>
                  <c:pt idx="17">
                    <c:v>7.3000000000000001E-3</c:v>
                  </c:pt>
                  <c:pt idx="18">
                    <c:v>1.9E-3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5">
                    <c:v>1E-3</c:v>
                  </c:pt>
                  <c:pt idx="16">
                    <c:v>2.2000000000000001E-3</c:v>
                  </c:pt>
                  <c:pt idx="17">
                    <c:v>7.3000000000000001E-3</c:v>
                  </c:pt>
                  <c:pt idx="18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-588</c:v>
                </c:pt>
                <c:pt idx="1">
                  <c:v>-404</c:v>
                </c:pt>
                <c:pt idx="2">
                  <c:v>-403</c:v>
                </c:pt>
                <c:pt idx="3">
                  <c:v>-180</c:v>
                </c:pt>
                <c:pt idx="4">
                  <c:v>-45</c:v>
                </c:pt>
                <c:pt idx="5">
                  <c:v>-4</c:v>
                </c:pt>
                <c:pt idx="6">
                  <c:v>0</c:v>
                </c:pt>
                <c:pt idx="7">
                  <c:v>0</c:v>
                </c:pt>
                <c:pt idx="8">
                  <c:v>717</c:v>
                </c:pt>
                <c:pt idx="9">
                  <c:v>718</c:v>
                </c:pt>
                <c:pt idx="10">
                  <c:v>719</c:v>
                </c:pt>
                <c:pt idx="11">
                  <c:v>720</c:v>
                </c:pt>
                <c:pt idx="12">
                  <c:v>762</c:v>
                </c:pt>
                <c:pt idx="13">
                  <c:v>900</c:v>
                </c:pt>
                <c:pt idx="14">
                  <c:v>8670</c:v>
                </c:pt>
                <c:pt idx="15">
                  <c:v>8673</c:v>
                </c:pt>
                <c:pt idx="16">
                  <c:v>9253</c:v>
                </c:pt>
                <c:pt idx="17">
                  <c:v>10482</c:v>
                </c:pt>
                <c:pt idx="18">
                  <c:v>10522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097-49AA-877E-1F53A67305E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5">
                    <c:v>1E-3</c:v>
                  </c:pt>
                  <c:pt idx="16">
                    <c:v>2.2000000000000001E-3</c:v>
                  </c:pt>
                  <c:pt idx="17">
                    <c:v>7.3000000000000001E-3</c:v>
                  </c:pt>
                  <c:pt idx="18">
                    <c:v>1.9E-3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5">
                    <c:v>1E-3</c:v>
                  </c:pt>
                  <c:pt idx="16">
                    <c:v>2.2000000000000001E-3</c:v>
                  </c:pt>
                  <c:pt idx="17">
                    <c:v>7.3000000000000001E-3</c:v>
                  </c:pt>
                  <c:pt idx="18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-588</c:v>
                </c:pt>
                <c:pt idx="1">
                  <c:v>-404</c:v>
                </c:pt>
                <c:pt idx="2">
                  <c:v>-403</c:v>
                </c:pt>
                <c:pt idx="3">
                  <c:v>-180</c:v>
                </c:pt>
                <c:pt idx="4">
                  <c:v>-45</c:v>
                </c:pt>
                <c:pt idx="5">
                  <c:v>-4</c:v>
                </c:pt>
                <c:pt idx="6">
                  <c:v>0</c:v>
                </c:pt>
                <c:pt idx="7">
                  <c:v>0</c:v>
                </c:pt>
                <c:pt idx="8">
                  <c:v>717</c:v>
                </c:pt>
                <c:pt idx="9">
                  <c:v>718</c:v>
                </c:pt>
                <c:pt idx="10">
                  <c:v>719</c:v>
                </c:pt>
                <c:pt idx="11">
                  <c:v>720</c:v>
                </c:pt>
                <c:pt idx="12">
                  <c:v>762</c:v>
                </c:pt>
                <c:pt idx="13">
                  <c:v>900</c:v>
                </c:pt>
                <c:pt idx="14">
                  <c:v>8670</c:v>
                </c:pt>
                <c:pt idx="15">
                  <c:v>8673</c:v>
                </c:pt>
                <c:pt idx="16">
                  <c:v>9253</c:v>
                </c:pt>
                <c:pt idx="17">
                  <c:v>10482</c:v>
                </c:pt>
                <c:pt idx="18">
                  <c:v>10522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097-49AA-877E-1F53A67305E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-588</c:v>
                </c:pt>
                <c:pt idx="1">
                  <c:v>-404</c:v>
                </c:pt>
                <c:pt idx="2">
                  <c:v>-403</c:v>
                </c:pt>
                <c:pt idx="3">
                  <c:v>-180</c:v>
                </c:pt>
                <c:pt idx="4">
                  <c:v>-45</c:v>
                </c:pt>
                <c:pt idx="5">
                  <c:v>-4</c:v>
                </c:pt>
                <c:pt idx="6">
                  <c:v>0</c:v>
                </c:pt>
                <c:pt idx="7">
                  <c:v>0</c:v>
                </c:pt>
                <c:pt idx="8">
                  <c:v>717</c:v>
                </c:pt>
                <c:pt idx="9">
                  <c:v>718</c:v>
                </c:pt>
                <c:pt idx="10">
                  <c:v>719</c:v>
                </c:pt>
                <c:pt idx="11">
                  <c:v>720</c:v>
                </c:pt>
                <c:pt idx="12">
                  <c:v>762</c:v>
                </c:pt>
                <c:pt idx="13">
                  <c:v>900</c:v>
                </c:pt>
                <c:pt idx="14">
                  <c:v>8670</c:v>
                </c:pt>
                <c:pt idx="15">
                  <c:v>8673</c:v>
                </c:pt>
                <c:pt idx="16">
                  <c:v>9253</c:v>
                </c:pt>
                <c:pt idx="17">
                  <c:v>10482</c:v>
                </c:pt>
                <c:pt idx="18">
                  <c:v>10522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-1.8248130846068134E-2</c:v>
                </c:pt>
                <c:pt idx="1">
                  <c:v>-1.7124111155640252E-2</c:v>
                </c:pt>
                <c:pt idx="2">
                  <c:v>-1.7118002352974882E-2</c:v>
                </c:pt>
                <c:pt idx="3">
                  <c:v>-1.5755739358597608E-2</c:v>
                </c:pt>
                <c:pt idx="4">
                  <c:v>-1.4931050998772802E-2</c:v>
                </c:pt>
                <c:pt idx="5">
                  <c:v>-1.4680590089492676E-2</c:v>
                </c:pt>
                <c:pt idx="6">
                  <c:v>-1.46561548788312E-2</c:v>
                </c:pt>
                <c:pt idx="7">
                  <c:v>-1.46561548788312E-2</c:v>
                </c:pt>
                <c:pt idx="8">
                  <c:v>-1.0276143367761672E-2</c:v>
                </c:pt>
                <c:pt idx="9">
                  <c:v>-1.0270034565096304E-2</c:v>
                </c:pt>
                <c:pt idx="10">
                  <c:v>-1.0263925762430934E-2</c:v>
                </c:pt>
                <c:pt idx="11">
                  <c:v>-1.0257816959765565E-2</c:v>
                </c:pt>
                <c:pt idx="12">
                  <c:v>-1.000124724782007E-2</c:v>
                </c:pt>
                <c:pt idx="13">
                  <c:v>-9.1582324799991573E-3</c:v>
                </c:pt>
                <c:pt idx="14">
                  <c:v>3.8307164229917486E-2</c:v>
                </c:pt>
                <c:pt idx="15">
                  <c:v>3.8325490637913594E-2</c:v>
                </c:pt>
                <c:pt idx="16">
                  <c:v>4.1868596183827579E-2</c:v>
                </c:pt>
                <c:pt idx="17">
                  <c:v>4.937631465956601E-2</c:v>
                </c:pt>
                <c:pt idx="18">
                  <c:v>4.9620666766180759E-2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097-49AA-877E-1F53A6730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269848"/>
        <c:axId val="1"/>
      </c:scatterChart>
      <c:valAx>
        <c:axId val="532269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22698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6887218045112781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38036A0-9991-8178-478D-F77DFA3BB2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31" TargetMode="External"/><Relationship Id="rId2" Type="http://schemas.openxmlformats.org/officeDocument/2006/relationships/hyperlink" Target="http://www.bav-astro.de/sfs/BAVM_link.php?BAVMnr=178" TargetMode="External"/><Relationship Id="rId1" Type="http://schemas.openxmlformats.org/officeDocument/2006/relationships/hyperlink" Target="http://www.konkoly.hu/cgi-bin/IBVS?5594" TargetMode="External"/><Relationship Id="rId4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2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3" customWidth="1"/>
    <col min="6" max="6" width="18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6384" width="10.28515625" style="27"/>
  </cols>
  <sheetData>
    <row r="1" spans="1:8" s="27" customFormat="1" ht="20.25" x14ac:dyDescent="0.2">
      <c r="A1" s="51" t="s">
        <v>35</v>
      </c>
      <c r="F1" s="28">
        <v>52500.41</v>
      </c>
      <c r="G1" s="28">
        <v>1.97245</v>
      </c>
      <c r="H1" s="28" t="s">
        <v>36</v>
      </c>
    </row>
    <row r="2" spans="1:8" s="27" customFormat="1" ht="12.95" customHeight="1" x14ac:dyDescent="0.2">
      <c r="A2" s="27" t="s">
        <v>22</v>
      </c>
      <c r="B2" s="27" t="str">
        <f>H1</f>
        <v>EA</v>
      </c>
      <c r="C2" s="28"/>
      <c r="D2" s="28"/>
    </row>
    <row r="3" spans="1:8" s="27" customFormat="1" ht="12.95" customHeight="1" thickBot="1" x14ac:dyDescent="0.25"/>
    <row r="4" spans="1:8" s="27" customFormat="1" ht="12.95" customHeight="1" thickTop="1" thickBot="1" x14ac:dyDescent="0.25">
      <c r="A4" s="29" t="s">
        <v>34</v>
      </c>
      <c r="C4" s="30">
        <f>F1</f>
        <v>52500.41</v>
      </c>
      <c r="D4" s="31">
        <f>G1</f>
        <v>1.97245</v>
      </c>
    </row>
    <row r="5" spans="1:8" s="27" customFormat="1" ht="12.95" customHeight="1" thickTop="1" x14ac:dyDescent="0.2">
      <c r="A5" s="32" t="s">
        <v>27</v>
      </c>
      <c r="C5" s="33">
        <v>-9.5</v>
      </c>
      <c r="D5" s="27" t="s">
        <v>28</v>
      </c>
    </row>
    <row r="6" spans="1:8" s="27" customFormat="1" ht="12.95" customHeight="1" x14ac:dyDescent="0.2">
      <c r="A6" s="29" t="s">
        <v>0</v>
      </c>
    </row>
    <row r="7" spans="1:8" s="27" customFormat="1" ht="12.95" customHeight="1" x14ac:dyDescent="0.2">
      <c r="A7" s="27" t="s">
        <v>1</v>
      </c>
      <c r="C7" s="27">
        <v>35399.273000000001</v>
      </c>
      <c r="D7" s="54" t="s">
        <v>125</v>
      </c>
    </row>
    <row r="8" spans="1:8" s="27" customFormat="1" ht="12.95" customHeight="1" x14ac:dyDescent="0.2">
      <c r="A8" s="27" t="s">
        <v>2</v>
      </c>
      <c r="C8" s="27">
        <v>1.9724440999999999</v>
      </c>
      <c r="D8" s="54" t="s">
        <v>125</v>
      </c>
    </row>
    <row r="9" spans="1:8" s="27" customFormat="1" ht="12.95" customHeight="1" x14ac:dyDescent="0.2">
      <c r="A9" s="34" t="s">
        <v>31</v>
      </c>
      <c r="B9" s="35">
        <v>34</v>
      </c>
      <c r="C9" s="36" t="str">
        <f>"F"&amp;B9</f>
        <v>F34</v>
      </c>
      <c r="D9" s="37" t="str">
        <f>"G"&amp;B9</f>
        <v>G34</v>
      </c>
    </row>
    <row r="10" spans="1:8" s="27" customFormat="1" ht="12.95" customHeight="1" thickBot="1" x14ac:dyDescent="0.25">
      <c r="C10" s="38" t="s">
        <v>18</v>
      </c>
      <c r="D10" s="38" t="s">
        <v>19</v>
      </c>
    </row>
    <row r="11" spans="1:8" s="27" customFormat="1" ht="12.95" customHeight="1" x14ac:dyDescent="0.2">
      <c r="A11" s="27" t="s">
        <v>14</v>
      </c>
      <c r="C11" s="37">
        <f ca="1">INTERCEPT(INDIRECT($D$9):G975,INDIRECT($C$9):F975)</f>
        <v>-1.46561548788312E-2</v>
      </c>
      <c r="D11" s="28"/>
    </row>
    <row r="12" spans="1:8" s="27" customFormat="1" ht="12.95" customHeight="1" x14ac:dyDescent="0.2">
      <c r="A12" s="27" t="s">
        <v>15</v>
      </c>
      <c r="C12" s="37">
        <f ca="1">SLOPE(INDIRECT($D$9):G975,INDIRECT($C$9):F975)</f>
        <v>6.1088026653689376E-6</v>
      </c>
      <c r="D12" s="28"/>
      <c r="E12" s="64" t="s">
        <v>124</v>
      </c>
      <c r="F12" s="65" t="s">
        <v>123</v>
      </c>
    </row>
    <row r="13" spans="1:8" s="27" customFormat="1" ht="12.95" customHeight="1" x14ac:dyDescent="0.2">
      <c r="A13" s="27" t="s">
        <v>17</v>
      </c>
      <c r="C13" s="28" t="s">
        <v>12</v>
      </c>
      <c r="E13" s="57" t="s">
        <v>119</v>
      </c>
      <c r="F13" s="58">
        <v>1</v>
      </c>
    </row>
    <row r="14" spans="1:8" s="27" customFormat="1" ht="12.95" customHeight="1" x14ac:dyDescent="0.2">
      <c r="E14" s="57" t="s">
        <v>29</v>
      </c>
      <c r="F14" s="59">
        <f ca="1">NOW()+15018.5+$C$5/24</f>
        <v>60520.75444143518</v>
      </c>
    </row>
    <row r="15" spans="1:8" s="27" customFormat="1" ht="12.95" customHeight="1" x14ac:dyDescent="0.2">
      <c r="A15" s="39" t="s">
        <v>16</v>
      </c>
      <c r="C15" s="40">
        <f ca="1">(C7+C11)+(C8+C12)*INT(MAX(F21:F3516))</f>
        <v>56153.379440866767</v>
      </c>
      <c r="E15" s="57" t="s">
        <v>120</v>
      </c>
      <c r="F15" s="60">
        <f ca="1">ROUND(2*($F$14-$C$7)/$C$8,0)/2+$F$13</f>
        <v>12737</v>
      </c>
    </row>
    <row r="16" spans="1:8" s="27" customFormat="1" ht="12.95" customHeight="1" x14ac:dyDescent="0.2">
      <c r="A16" s="29" t="s">
        <v>3</v>
      </c>
      <c r="C16" s="41">
        <f ca="1">+C8+C12</f>
        <v>1.9724502088026652</v>
      </c>
      <c r="E16" s="57" t="s">
        <v>30</v>
      </c>
      <c r="F16" s="60">
        <f ca="1">ROUND(2*($F$14-$C$15)/$C$16,0)/2+$F$13</f>
        <v>2215</v>
      </c>
    </row>
    <row r="17" spans="1:17" ht="12.95" customHeight="1" thickBot="1" x14ac:dyDescent="0.25">
      <c r="A17" s="42" t="s">
        <v>26</v>
      </c>
      <c r="B17" s="27"/>
      <c r="C17" s="27">
        <f>COUNT(C21:C2174)</f>
        <v>19</v>
      </c>
      <c r="D17" s="27"/>
      <c r="E17" s="57" t="s">
        <v>121</v>
      </c>
      <c r="F17" s="61">
        <f ca="1">+$C$15+$C$16*$F$16-15018.5-$C$5/24</f>
        <v>45504.252486698009</v>
      </c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</row>
    <row r="18" spans="1:17" ht="12.95" customHeight="1" thickTop="1" thickBot="1" x14ac:dyDescent="0.25">
      <c r="A18" s="29" t="s">
        <v>4</v>
      </c>
      <c r="B18" s="27"/>
      <c r="C18" s="43">
        <f ca="1">+C15</f>
        <v>56153.379440866767</v>
      </c>
      <c r="D18" s="44">
        <f ca="1">+C16</f>
        <v>1.9724502088026652</v>
      </c>
      <c r="E18" s="63" t="s">
        <v>122</v>
      </c>
      <c r="F18" s="62">
        <f ca="1">+($C$15+$C$16*$F$16)-($C$16/2)-15018.5-$C$5/24</f>
        <v>45503.266261593606</v>
      </c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</row>
    <row r="19" spans="1:17" ht="12.95" customHeight="1" thickTop="1" x14ac:dyDescent="0.2">
      <c r="A19" s="27"/>
      <c r="B19" s="27"/>
      <c r="C19" s="27"/>
      <c r="D19" s="27"/>
      <c r="E19" s="52"/>
      <c r="F19" s="53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1:17" ht="12.95" customHeight="1" thickBot="1" x14ac:dyDescent="0.25">
      <c r="A20" s="38" t="s">
        <v>5</v>
      </c>
      <c r="B20" s="38" t="s">
        <v>6</v>
      </c>
      <c r="C20" s="38" t="s">
        <v>7</v>
      </c>
      <c r="D20" s="38" t="s">
        <v>11</v>
      </c>
      <c r="E20" s="38" t="s">
        <v>8</v>
      </c>
      <c r="F20" s="38" t="s">
        <v>9</v>
      </c>
      <c r="G20" s="38" t="s">
        <v>10</v>
      </c>
      <c r="H20" s="45" t="s">
        <v>33</v>
      </c>
      <c r="I20" s="45" t="s">
        <v>51</v>
      </c>
      <c r="J20" s="45" t="s">
        <v>118</v>
      </c>
      <c r="K20" s="45" t="s">
        <v>43</v>
      </c>
      <c r="L20" s="45" t="s">
        <v>23</v>
      </c>
      <c r="M20" s="45" t="s">
        <v>24</v>
      </c>
      <c r="N20" s="45" t="s">
        <v>25</v>
      </c>
      <c r="O20" s="45" t="s">
        <v>21</v>
      </c>
      <c r="P20" s="46" t="s">
        <v>20</v>
      </c>
      <c r="Q20" s="38" t="s">
        <v>13</v>
      </c>
    </row>
    <row r="21" spans="1:17" ht="12.95" customHeight="1" x14ac:dyDescent="0.2">
      <c r="A21" s="55" t="s">
        <v>126</v>
      </c>
      <c r="B21" s="47" t="s">
        <v>32</v>
      </c>
      <c r="C21" s="48">
        <v>34239.445</v>
      </c>
      <c r="D21" s="49"/>
      <c r="E21" s="27">
        <f t="shared" ref="E21:E39" si="0">+(C21-C$7)/C$8</f>
        <v>-588.01565022806039</v>
      </c>
      <c r="F21" s="27">
        <f t="shared" ref="F21:F39" si="1">ROUND(2*E21,0)/2</f>
        <v>-588</v>
      </c>
      <c r="G21" s="27">
        <f t="shared" ref="G21:G39" si="2">+C21-(C$7+F21*C$8)</f>
        <v>-3.0869200003508013E-2</v>
      </c>
      <c r="H21" s="27"/>
      <c r="I21" s="27">
        <f t="shared" ref="I21:I34" si="3">+G21</f>
        <v>-3.0869200003508013E-2</v>
      </c>
      <c r="J21" s="27"/>
      <c r="K21" s="27"/>
      <c r="L21" s="27"/>
      <c r="M21" s="27"/>
      <c r="N21" s="27"/>
      <c r="O21" s="27">
        <f t="shared" ref="O21:O39" ca="1" si="4">+C$11+C$12*$F21</f>
        <v>-1.8248130846068134E-2</v>
      </c>
      <c r="P21" s="27"/>
      <c r="Q21" s="50">
        <f t="shared" ref="Q21:Q39" si="5">+C21-15018.5</f>
        <v>19220.945</v>
      </c>
    </row>
    <row r="22" spans="1:17" ht="12.95" customHeight="1" x14ac:dyDescent="0.2">
      <c r="A22" s="55" t="s">
        <v>126</v>
      </c>
      <c r="B22" s="47" t="s">
        <v>32</v>
      </c>
      <c r="C22" s="48">
        <v>34602.410000000003</v>
      </c>
      <c r="D22" s="49"/>
      <c r="E22" s="27">
        <f t="shared" si="0"/>
        <v>-403.99776095048657</v>
      </c>
      <c r="F22" s="27">
        <f t="shared" si="1"/>
        <v>-404</v>
      </c>
      <c r="G22" s="27">
        <f t="shared" si="2"/>
        <v>4.4163999991724268E-3</v>
      </c>
      <c r="H22" s="27"/>
      <c r="I22" s="27">
        <f t="shared" si="3"/>
        <v>4.4163999991724268E-3</v>
      </c>
      <c r="J22" s="27"/>
      <c r="K22" s="27"/>
      <c r="L22" s="27"/>
      <c r="M22" s="27"/>
      <c r="N22" s="27"/>
      <c r="O22" s="27">
        <f t="shared" ca="1" si="4"/>
        <v>-1.7124111155640252E-2</v>
      </c>
      <c r="P22" s="27"/>
      <c r="Q22" s="50">
        <f t="shared" si="5"/>
        <v>19583.910000000003</v>
      </c>
    </row>
    <row r="23" spans="1:17" ht="12.95" customHeight="1" x14ac:dyDescent="0.2">
      <c r="A23" s="55" t="s">
        <v>126</v>
      </c>
      <c r="B23" s="47" t="s">
        <v>32</v>
      </c>
      <c r="C23" s="48">
        <v>34604.400000000001</v>
      </c>
      <c r="D23" s="49"/>
      <c r="E23" s="27">
        <f t="shared" si="0"/>
        <v>-402.98886036871698</v>
      </c>
      <c r="F23" s="27">
        <f t="shared" si="1"/>
        <v>-403</v>
      </c>
      <c r="G23" s="27">
        <f t="shared" si="2"/>
        <v>2.1972299997287337E-2</v>
      </c>
      <c r="H23" s="27"/>
      <c r="I23" s="27">
        <f t="shared" si="3"/>
        <v>2.1972299997287337E-2</v>
      </c>
      <c r="J23" s="27"/>
      <c r="K23" s="27"/>
      <c r="L23" s="27"/>
      <c r="M23" s="27"/>
      <c r="N23" s="27"/>
      <c r="O23" s="27">
        <f t="shared" ca="1" si="4"/>
        <v>-1.7118002352974882E-2</v>
      </c>
      <c r="P23" s="27"/>
      <c r="Q23" s="50">
        <f t="shared" si="5"/>
        <v>19585.900000000001</v>
      </c>
    </row>
    <row r="24" spans="1:17" ht="12.95" customHeight="1" x14ac:dyDescent="0.2">
      <c r="A24" s="55" t="s">
        <v>126</v>
      </c>
      <c r="B24" s="47" t="s">
        <v>32</v>
      </c>
      <c r="C24" s="48">
        <v>35044.254999999997</v>
      </c>
      <c r="D24" s="49"/>
      <c r="E24" s="27">
        <f t="shared" si="0"/>
        <v>-179.98887775831199</v>
      </c>
      <c r="F24" s="27">
        <f t="shared" si="1"/>
        <v>-180</v>
      </c>
      <c r="G24" s="27">
        <f t="shared" si="2"/>
        <v>2.1937999998044688E-2</v>
      </c>
      <c r="H24" s="27"/>
      <c r="I24" s="27">
        <f t="shared" si="3"/>
        <v>2.1937999998044688E-2</v>
      </c>
      <c r="J24" s="27"/>
      <c r="K24" s="27"/>
      <c r="L24" s="27"/>
      <c r="M24" s="27"/>
      <c r="N24" s="27"/>
      <c r="O24" s="27">
        <f t="shared" ca="1" si="4"/>
        <v>-1.5755739358597608E-2</v>
      </c>
      <c r="P24" s="27"/>
      <c r="Q24" s="50">
        <f t="shared" si="5"/>
        <v>20025.754999999997</v>
      </c>
    </row>
    <row r="25" spans="1:17" ht="12.95" customHeight="1" x14ac:dyDescent="0.2">
      <c r="A25" s="55" t="s">
        <v>126</v>
      </c>
      <c r="B25" s="47" t="s">
        <v>32</v>
      </c>
      <c r="C25" s="48">
        <v>35310.49</v>
      </c>
      <c r="D25" s="49"/>
      <c r="E25" s="27">
        <f t="shared" si="0"/>
        <v>-45.011668518262745</v>
      </c>
      <c r="F25" s="27">
        <f t="shared" si="1"/>
        <v>-45</v>
      </c>
      <c r="G25" s="27">
        <f t="shared" si="2"/>
        <v>-2.3015500002657063E-2</v>
      </c>
      <c r="H25" s="27"/>
      <c r="I25" s="27">
        <f t="shared" si="3"/>
        <v>-2.3015500002657063E-2</v>
      </c>
      <c r="J25" s="27"/>
      <c r="K25" s="27"/>
      <c r="L25" s="27"/>
      <c r="M25" s="27"/>
      <c r="N25" s="27"/>
      <c r="O25" s="27">
        <f t="shared" ca="1" si="4"/>
        <v>-1.4931050998772802E-2</v>
      </c>
      <c r="P25" s="27"/>
      <c r="Q25" s="50">
        <f t="shared" si="5"/>
        <v>20291.989999999998</v>
      </c>
    </row>
    <row r="26" spans="1:17" ht="12.95" customHeight="1" x14ac:dyDescent="0.2">
      <c r="A26" s="55" t="s">
        <v>126</v>
      </c>
      <c r="B26" s="47" t="s">
        <v>32</v>
      </c>
      <c r="C26" s="48">
        <v>35391.35</v>
      </c>
      <c r="D26" s="49"/>
      <c r="E26" s="27">
        <f t="shared" si="0"/>
        <v>-4.016843874055799</v>
      </c>
      <c r="F26" s="27">
        <f t="shared" si="1"/>
        <v>-4</v>
      </c>
      <c r="G26" s="27">
        <f t="shared" si="2"/>
        <v>-3.3223600003111642E-2</v>
      </c>
      <c r="H26" s="27"/>
      <c r="I26" s="27">
        <f t="shared" si="3"/>
        <v>-3.3223600003111642E-2</v>
      </c>
      <c r="J26" s="27"/>
      <c r="K26" s="27"/>
      <c r="L26" s="27"/>
      <c r="M26" s="27"/>
      <c r="N26" s="27"/>
      <c r="O26" s="27">
        <f t="shared" ca="1" si="4"/>
        <v>-1.4680590089492676E-2</v>
      </c>
      <c r="P26" s="27"/>
      <c r="Q26" s="50">
        <f t="shared" si="5"/>
        <v>20372.849999999999</v>
      </c>
    </row>
    <row r="27" spans="1:17" ht="12.95" customHeight="1" x14ac:dyDescent="0.2">
      <c r="A27" t="str">
        <f>$D$7</f>
        <v>VSX</v>
      </c>
      <c r="C27" s="3">
        <f>$C$7</f>
        <v>35399.273000000001</v>
      </c>
      <c r="D27" s="3"/>
      <c r="E27">
        <f t="shared" si="0"/>
        <v>0</v>
      </c>
      <c r="F27">
        <f t="shared" si="1"/>
        <v>0</v>
      </c>
      <c r="G27">
        <f t="shared" si="2"/>
        <v>0</v>
      </c>
      <c r="I27">
        <f t="shared" si="3"/>
        <v>0</v>
      </c>
      <c r="O27">
        <f t="shared" ca="1" si="4"/>
        <v>-1.46561548788312E-2</v>
      </c>
      <c r="Q27" s="1">
        <f t="shared" si="5"/>
        <v>20380.773000000001</v>
      </c>
    </row>
    <row r="28" spans="1:17" ht="12.95" customHeight="1" x14ac:dyDescent="0.2">
      <c r="A28" s="55" t="s">
        <v>126</v>
      </c>
      <c r="B28" s="47" t="s">
        <v>32</v>
      </c>
      <c r="C28" s="48">
        <v>35399.31</v>
      </c>
      <c r="D28" s="49"/>
      <c r="E28" s="27">
        <f t="shared" si="0"/>
        <v>1.8758453026184091E-2</v>
      </c>
      <c r="F28" s="27">
        <f t="shared" si="1"/>
        <v>0</v>
      </c>
      <c r="G28" s="27">
        <f t="shared" si="2"/>
        <v>3.6999999996623956E-2</v>
      </c>
      <c r="H28" s="27"/>
      <c r="I28" s="27">
        <f t="shared" si="3"/>
        <v>3.6999999996623956E-2</v>
      </c>
      <c r="J28" s="27"/>
      <c r="K28" s="27"/>
      <c r="L28" s="27"/>
      <c r="M28" s="27"/>
      <c r="N28" s="27"/>
      <c r="O28" s="27">
        <f t="shared" ca="1" si="4"/>
        <v>-1.46561548788312E-2</v>
      </c>
      <c r="P28" s="27"/>
      <c r="Q28" s="50">
        <f t="shared" si="5"/>
        <v>20380.809999999998</v>
      </c>
    </row>
    <row r="29" spans="1:17" ht="12.95" customHeight="1" x14ac:dyDescent="0.2">
      <c r="A29" s="55" t="s">
        <v>126</v>
      </c>
      <c r="B29" s="47" t="s">
        <v>32</v>
      </c>
      <c r="C29" s="48">
        <v>36813.525000000001</v>
      </c>
      <c r="D29" s="49"/>
      <c r="E29" s="27">
        <f t="shared" si="0"/>
        <v>717.00485707047437</v>
      </c>
      <c r="F29" s="27">
        <f t="shared" si="1"/>
        <v>717</v>
      </c>
      <c r="G29" s="27">
        <f t="shared" si="2"/>
        <v>9.5803000003797933E-3</v>
      </c>
      <c r="H29" s="27"/>
      <c r="I29" s="27">
        <f t="shared" si="3"/>
        <v>9.5803000003797933E-3</v>
      </c>
      <c r="J29" s="27"/>
      <c r="K29" s="27"/>
      <c r="L29" s="27"/>
      <c r="M29" s="27"/>
      <c r="N29" s="27"/>
      <c r="O29" s="27">
        <f t="shared" ca="1" si="4"/>
        <v>-1.0276143367761672E-2</v>
      </c>
      <c r="P29" s="27"/>
      <c r="Q29" s="50">
        <f t="shared" si="5"/>
        <v>21795.025000000001</v>
      </c>
    </row>
    <row r="30" spans="1:17" ht="12.95" customHeight="1" x14ac:dyDescent="0.2">
      <c r="A30" s="55" t="s">
        <v>126</v>
      </c>
      <c r="B30" s="47" t="s">
        <v>32</v>
      </c>
      <c r="C30" s="48">
        <v>36815.480000000003</v>
      </c>
      <c r="D30" s="49"/>
      <c r="E30" s="27">
        <f t="shared" si="0"/>
        <v>717.99601316965186</v>
      </c>
      <c r="F30" s="27">
        <f t="shared" si="1"/>
        <v>718</v>
      </c>
      <c r="G30" s="27">
        <f t="shared" si="2"/>
        <v>-7.8637999977217987E-3</v>
      </c>
      <c r="H30" s="27"/>
      <c r="I30" s="27">
        <f t="shared" si="3"/>
        <v>-7.8637999977217987E-3</v>
      </c>
      <c r="J30" s="27"/>
      <c r="K30" s="27"/>
      <c r="L30" s="27"/>
      <c r="M30" s="27"/>
      <c r="N30" s="27"/>
      <c r="O30" s="27">
        <f t="shared" ca="1" si="4"/>
        <v>-1.0270034565096304E-2</v>
      </c>
      <c r="P30" s="27"/>
      <c r="Q30" s="50">
        <f t="shared" si="5"/>
        <v>21796.980000000003</v>
      </c>
    </row>
    <row r="31" spans="1:17" ht="12.95" customHeight="1" x14ac:dyDescent="0.2">
      <c r="A31" s="55" t="s">
        <v>126</v>
      </c>
      <c r="B31" s="47" t="s">
        <v>32</v>
      </c>
      <c r="C31" s="48">
        <v>36817.445</v>
      </c>
      <c r="D31" s="49"/>
      <c r="E31" s="27">
        <f t="shared" si="0"/>
        <v>718.99223912099649</v>
      </c>
      <c r="F31" s="27">
        <f t="shared" si="1"/>
        <v>719</v>
      </c>
      <c r="G31" s="27">
        <f t="shared" si="2"/>
        <v>-1.530790000106208E-2</v>
      </c>
      <c r="H31" s="27"/>
      <c r="I31" s="27">
        <f t="shared" si="3"/>
        <v>-1.530790000106208E-2</v>
      </c>
      <c r="J31" s="27"/>
      <c r="K31" s="27"/>
      <c r="L31" s="27"/>
      <c r="M31" s="27"/>
      <c r="N31" s="27"/>
      <c r="O31" s="27">
        <f t="shared" ca="1" si="4"/>
        <v>-1.0263925762430934E-2</v>
      </c>
      <c r="P31" s="27"/>
      <c r="Q31" s="50">
        <f t="shared" si="5"/>
        <v>21798.945</v>
      </c>
    </row>
    <row r="32" spans="1:17" ht="12.95" customHeight="1" x14ac:dyDescent="0.2">
      <c r="A32" s="55" t="s">
        <v>126</v>
      </c>
      <c r="B32" s="47" t="s">
        <v>32</v>
      </c>
      <c r="C32" s="48">
        <v>36819.445</v>
      </c>
      <c r="D32" s="49"/>
      <c r="E32" s="27">
        <f t="shared" si="0"/>
        <v>720.00620955493685</v>
      </c>
      <c r="F32" s="27">
        <f t="shared" si="1"/>
        <v>720</v>
      </c>
      <c r="G32" s="27">
        <f t="shared" si="2"/>
        <v>1.2247999999090098E-2</v>
      </c>
      <c r="H32" s="27"/>
      <c r="I32" s="27">
        <f t="shared" si="3"/>
        <v>1.2247999999090098E-2</v>
      </c>
      <c r="J32" s="27"/>
      <c r="K32" s="27"/>
      <c r="L32" s="27"/>
      <c r="M32" s="27"/>
      <c r="N32" s="27"/>
      <c r="O32" s="27">
        <f t="shared" ca="1" si="4"/>
        <v>-1.0257816959765565E-2</v>
      </c>
      <c r="P32" s="27"/>
      <c r="Q32" s="50">
        <f t="shared" si="5"/>
        <v>21800.945</v>
      </c>
    </row>
    <row r="33" spans="1:17" ht="12.95" customHeight="1" x14ac:dyDescent="0.2">
      <c r="A33" s="55" t="s">
        <v>126</v>
      </c>
      <c r="B33" s="47" t="s">
        <v>32</v>
      </c>
      <c r="C33" s="48">
        <v>36902.285000000003</v>
      </c>
      <c r="D33" s="49"/>
      <c r="E33" s="27">
        <f t="shared" si="0"/>
        <v>762.00486492874631</v>
      </c>
      <c r="F33" s="27">
        <f t="shared" si="1"/>
        <v>762</v>
      </c>
      <c r="G33" s="27">
        <f t="shared" si="2"/>
        <v>9.5958000019891188E-3</v>
      </c>
      <c r="H33" s="27"/>
      <c r="I33" s="27">
        <f t="shared" si="3"/>
        <v>9.5958000019891188E-3</v>
      </c>
      <c r="J33" s="27"/>
      <c r="K33" s="27"/>
      <c r="L33" s="27"/>
      <c r="M33" s="27"/>
      <c r="N33" s="27"/>
      <c r="O33" s="27">
        <f t="shared" ca="1" si="4"/>
        <v>-1.000124724782007E-2</v>
      </c>
      <c r="P33" s="27"/>
      <c r="Q33" s="50">
        <f t="shared" si="5"/>
        <v>21883.785000000003</v>
      </c>
    </row>
    <row r="34" spans="1:17" ht="12.95" customHeight="1" x14ac:dyDescent="0.2">
      <c r="A34" s="55" t="s">
        <v>126</v>
      </c>
      <c r="B34" s="26" t="s">
        <v>32</v>
      </c>
      <c r="C34" s="25">
        <v>37174.46</v>
      </c>
      <c r="D34" s="3"/>
      <c r="E34">
        <f t="shared" si="0"/>
        <v>899.99356635759568</v>
      </c>
      <c r="F34">
        <f t="shared" si="1"/>
        <v>900</v>
      </c>
      <c r="G34">
        <f t="shared" si="2"/>
        <v>-1.269000000320375E-2</v>
      </c>
      <c r="I34">
        <f t="shared" si="3"/>
        <v>-1.269000000320375E-2</v>
      </c>
      <c r="O34">
        <f t="shared" ca="1" si="4"/>
        <v>-9.1582324799991573E-3</v>
      </c>
      <c r="Q34" s="1">
        <f t="shared" si="5"/>
        <v>22155.96</v>
      </c>
    </row>
    <row r="35" spans="1:17" ht="12.95" customHeight="1" x14ac:dyDescent="0.2">
      <c r="A35" s="7" t="s">
        <v>33</v>
      </c>
      <c r="B35" s="6" t="s">
        <v>32</v>
      </c>
      <c r="C35" s="7">
        <v>52500.41</v>
      </c>
      <c r="D35" s="5"/>
      <c r="E35">
        <f t="shared" si="0"/>
        <v>8670.0236523813292</v>
      </c>
      <c r="F35">
        <f t="shared" si="1"/>
        <v>8670</v>
      </c>
      <c r="G35">
        <f t="shared" si="2"/>
        <v>4.6653000004880596E-2</v>
      </c>
      <c r="H35">
        <f>+G35</f>
        <v>4.6653000004880596E-2</v>
      </c>
      <c r="O35">
        <f t="shared" ca="1" si="4"/>
        <v>3.8307164229917486E-2</v>
      </c>
      <c r="Q35" s="1">
        <f t="shared" si="5"/>
        <v>37481.910000000003</v>
      </c>
    </row>
    <row r="36" spans="1:17" ht="12.95" customHeight="1" x14ac:dyDescent="0.2">
      <c r="A36" s="7" t="s">
        <v>37</v>
      </c>
      <c r="B36" s="8" t="s">
        <v>32</v>
      </c>
      <c r="C36" s="9">
        <v>52506.328000000001</v>
      </c>
      <c r="D36" s="9">
        <v>1E-3</v>
      </c>
      <c r="E36">
        <f t="shared" si="0"/>
        <v>8673.0239908953572</v>
      </c>
      <c r="F36">
        <f t="shared" si="1"/>
        <v>8673</v>
      </c>
      <c r="G36">
        <f t="shared" si="2"/>
        <v>4.7320699995907489E-2</v>
      </c>
      <c r="K36">
        <f>+G36</f>
        <v>4.7320699995907489E-2</v>
      </c>
      <c r="O36">
        <f t="shared" ca="1" si="4"/>
        <v>3.8325490637913594E-2</v>
      </c>
      <c r="Q36" s="1">
        <f t="shared" si="5"/>
        <v>37487.828000000001</v>
      </c>
    </row>
    <row r="37" spans="1:17" ht="12.95" customHeight="1" x14ac:dyDescent="0.2">
      <c r="A37" s="7" t="s">
        <v>38</v>
      </c>
      <c r="B37" s="8"/>
      <c r="C37" s="7">
        <v>53650.341899999999</v>
      </c>
      <c r="D37" s="7">
        <v>2.2000000000000001E-3</v>
      </c>
      <c r="E37">
        <f t="shared" si="0"/>
        <v>9253.0221262037285</v>
      </c>
      <c r="F37">
        <f t="shared" si="1"/>
        <v>9253</v>
      </c>
      <c r="G37">
        <f t="shared" si="2"/>
        <v>4.3642699994961731E-2</v>
      </c>
      <c r="K37">
        <f>+G37</f>
        <v>4.3642699994961731E-2</v>
      </c>
      <c r="O37">
        <f t="shared" ca="1" si="4"/>
        <v>4.1868596183827579E-2</v>
      </c>
      <c r="Q37" s="1">
        <f t="shared" si="5"/>
        <v>38631.841899999999</v>
      </c>
    </row>
    <row r="38" spans="1:17" ht="12.95" customHeight="1" x14ac:dyDescent="0.2">
      <c r="A38" s="56" t="s">
        <v>39</v>
      </c>
      <c r="B38" s="10" t="s">
        <v>32</v>
      </c>
      <c r="C38" s="11">
        <v>56074.472500000003</v>
      </c>
      <c r="D38" s="11">
        <v>7.3000000000000001E-3</v>
      </c>
      <c r="E38">
        <f t="shared" si="0"/>
        <v>10482.02050440872</v>
      </c>
      <c r="F38">
        <f t="shared" si="1"/>
        <v>10482</v>
      </c>
      <c r="G38">
        <f t="shared" si="2"/>
        <v>4.044380000414094E-2</v>
      </c>
      <c r="K38">
        <f>+G38</f>
        <v>4.044380000414094E-2</v>
      </c>
      <c r="O38">
        <f t="shared" ca="1" si="4"/>
        <v>4.937631465956601E-2</v>
      </c>
      <c r="Q38" s="1">
        <f t="shared" si="5"/>
        <v>41055.972500000003</v>
      </c>
    </row>
    <row r="39" spans="1:17" ht="12.95" customHeight="1" x14ac:dyDescent="0.2">
      <c r="A39" s="56" t="s">
        <v>40</v>
      </c>
      <c r="B39" s="10" t="s">
        <v>32</v>
      </c>
      <c r="C39" s="11">
        <v>56153.372790000001</v>
      </c>
      <c r="D39" s="11">
        <v>1.9E-3</v>
      </c>
      <c r="E39">
        <f t="shared" si="0"/>
        <v>10522.021785053377</v>
      </c>
      <c r="F39">
        <f t="shared" si="1"/>
        <v>10522</v>
      </c>
      <c r="G39">
        <f t="shared" si="2"/>
        <v>4.296980000071926E-2</v>
      </c>
      <c r="K39">
        <f>+G39</f>
        <v>4.296980000071926E-2</v>
      </c>
      <c r="O39">
        <f t="shared" ca="1" si="4"/>
        <v>4.9620666766180759E-2</v>
      </c>
      <c r="Q39" s="1">
        <f t="shared" si="5"/>
        <v>41134.872790000001</v>
      </c>
    </row>
    <row r="40" spans="1:17" ht="12.95" customHeight="1" x14ac:dyDescent="0.2">
      <c r="C40" s="3"/>
      <c r="D40" s="3"/>
    </row>
    <row r="41" spans="1:17" ht="12.95" customHeight="1" x14ac:dyDescent="0.2">
      <c r="C41" s="3"/>
      <c r="D41" s="3"/>
    </row>
    <row r="42" spans="1:17" ht="12.95" customHeight="1" x14ac:dyDescent="0.2">
      <c r="C42" s="3"/>
      <c r="D42" s="3"/>
    </row>
    <row r="43" spans="1:17" ht="12.95" customHeight="1" x14ac:dyDescent="0.2">
      <c r="C43" s="3"/>
      <c r="D43" s="3"/>
    </row>
    <row r="44" spans="1:17" ht="12.95" customHeight="1" x14ac:dyDescent="0.2">
      <c r="C44" s="3"/>
      <c r="D44" s="3"/>
    </row>
    <row r="45" spans="1:17" ht="12.95" customHeight="1" x14ac:dyDescent="0.2">
      <c r="C45" s="3"/>
      <c r="D45" s="3"/>
    </row>
    <row r="46" spans="1:17" ht="12.95" customHeight="1" x14ac:dyDescent="0.2">
      <c r="C46" s="3"/>
      <c r="D46" s="3"/>
    </row>
    <row r="47" spans="1:17" ht="12.95" customHeight="1" x14ac:dyDescent="0.2">
      <c r="C47" s="3"/>
      <c r="D47" s="3"/>
    </row>
    <row r="48" spans="1:17" ht="12.95" customHeight="1" x14ac:dyDescent="0.2">
      <c r="C48" s="3"/>
      <c r="D48" s="3"/>
    </row>
    <row r="49" spans="3:4" ht="12.95" customHeight="1" x14ac:dyDescent="0.2">
      <c r="C49" s="3"/>
      <c r="D49" s="3"/>
    </row>
    <row r="50" spans="3:4" ht="12.95" customHeight="1" x14ac:dyDescent="0.2">
      <c r="C50" s="3"/>
      <c r="D50" s="3"/>
    </row>
    <row r="51" spans="3:4" ht="12.95" customHeight="1" x14ac:dyDescent="0.2">
      <c r="C51" s="3"/>
      <c r="D51" s="3"/>
    </row>
    <row r="52" spans="3:4" ht="12.95" customHeight="1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</sheetData>
  <sortState xmlns:xlrd2="http://schemas.microsoft.com/office/spreadsheetml/2017/richdata2" ref="A21:R42">
    <sortCondition ref="C21:C42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53"/>
  <sheetViews>
    <sheetView topLeftCell="A4" workbookViewId="0">
      <selection activeCell="A15" sqref="A15:C27"/>
    </sheetView>
  </sheetViews>
  <sheetFormatPr defaultRowHeight="12.75" x14ac:dyDescent="0.2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12" t="s">
        <v>41</v>
      </c>
      <c r="I1" s="13" t="s">
        <v>42</v>
      </c>
      <c r="J1" s="14" t="s">
        <v>43</v>
      </c>
    </row>
    <row r="2" spans="1:16" x14ac:dyDescent="0.2">
      <c r="I2" s="15" t="s">
        <v>44</v>
      </c>
      <c r="J2" s="16" t="s">
        <v>45</v>
      </c>
    </row>
    <row r="3" spans="1:16" x14ac:dyDescent="0.2">
      <c r="A3" s="17" t="s">
        <v>46</v>
      </c>
      <c r="I3" s="15" t="s">
        <v>47</v>
      </c>
      <c r="J3" s="16" t="s">
        <v>48</v>
      </c>
    </row>
    <row r="4" spans="1:16" x14ac:dyDescent="0.2">
      <c r="I4" s="15" t="s">
        <v>49</v>
      </c>
      <c r="J4" s="16" t="s">
        <v>48</v>
      </c>
    </row>
    <row r="5" spans="1:16" ht="13.5" thickBot="1" x14ac:dyDescent="0.25">
      <c r="I5" s="18" t="s">
        <v>50</v>
      </c>
      <c r="J5" s="19" t="s">
        <v>51</v>
      </c>
    </row>
    <row r="10" spans="1:16" ht="13.5" thickBot="1" x14ac:dyDescent="0.25"/>
    <row r="11" spans="1:16" ht="12.75" customHeight="1" thickBot="1" x14ac:dyDescent="0.25">
      <c r="A11" s="3" t="str">
        <f t="shared" ref="A11:A27" si="0">P11</f>
        <v>IBVS 5594 </v>
      </c>
      <c r="B11" s="2" t="str">
        <f t="shared" ref="B11:B27" si="1">IF(H11=INT(H11),"I","II")</f>
        <v>I</v>
      </c>
      <c r="C11" s="3">
        <f t="shared" ref="C11:C27" si="2">1*G11</f>
        <v>52506.328000000001</v>
      </c>
      <c r="D11" s="4" t="str">
        <f t="shared" ref="D11:D27" si="3">VLOOKUP(F11,I$1:J$5,2,FALSE)</f>
        <v>vis</v>
      </c>
      <c r="E11" s="20">
        <f>VLOOKUP(C11,Active!C$21:E$973,3,FALSE)</f>
        <v>8673.0239908953572</v>
      </c>
      <c r="F11" s="2" t="s">
        <v>50</v>
      </c>
      <c r="G11" s="4" t="str">
        <f t="shared" ref="G11:G27" si="4">MID(I11,3,LEN(I11)-3)</f>
        <v>52506.328</v>
      </c>
      <c r="H11" s="3">
        <f t="shared" ref="H11:H27" si="5">1*K11</f>
        <v>8673</v>
      </c>
      <c r="I11" s="21" t="s">
        <v>92</v>
      </c>
      <c r="J11" s="22" t="s">
        <v>93</v>
      </c>
      <c r="K11" s="21">
        <v>8673</v>
      </c>
      <c r="L11" s="21" t="s">
        <v>94</v>
      </c>
      <c r="M11" s="22" t="s">
        <v>95</v>
      </c>
      <c r="N11" s="22" t="s">
        <v>96</v>
      </c>
      <c r="O11" s="23" t="s">
        <v>97</v>
      </c>
      <c r="P11" s="24" t="s">
        <v>98</v>
      </c>
    </row>
    <row r="12" spans="1:16" ht="12.75" customHeight="1" thickBot="1" x14ac:dyDescent="0.25">
      <c r="A12" s="3" t="str">
        <f t="shared" si="0"/>
        <v>BAVM 178 </v>
      </c>
      <c r="B12" s="2" t="str">
        <f t="shared" si="1"/>
        <v>I</v>
      </c>
      <c r="C12" s="3">
        <f t="shared" si="2"/>
        <v>53650.341899999999</v>
      </c>
      <c r="D12" s="4" t="str">
        <f t="shared" si="3"/>
        <v>vis</v>
      </c>
      <c r="E12" s="20">
        <f>VLOOKUP(C12,Active!C$21:E$973,3,FALSE)</f>
        <v>9253.0221262037285</v>
      </c>
      <c r="F12" s="2" t="s">
        <v>50</v>
      </c>
      <c r="G12" s="4" t="str">
        <f t="shared" si="4"/>
        <v>53650.3419</v>
      </c>
      <c r="H12" s="3">
        <f t="shared" si="5"/>
        <v>9253</v>
      </c>
      <c r="I12" s="21" t="s">
        <v>99</v>
      </c>
      <c r="J12" s="22" t="s">
        <v>100</v>
      </c>
      <c r="K12" s="21">
        <v>9253</v>
      </c>
      <c r="L12" s="21" t="s">
        <v>101</v>
      </c>
      <c r="M12" s="22" t="s">
        <v>102</v>
      </c>
      <c r="N12" s="22" t="s">
        <v>103</v>
      </c>
      <c r="O12" s="23" t="s">
        <v>104</v>
      </c>
      <c r="P12" s="24" t="s">
        <v>105</v>
      </c>
    </row>
    <row r="13" spans="1:16" ht="12.75" customHeight="1" thickBot="1" x14ac:dyDescent="0.25">
      <c r="A13" s="3" t="str">
        <f t="shared" si="0"/>
        <v>BAVM 231 </v>
      </c>
      <c r="B13" s="2" t="str">
        <f t="shared" si="1"/>
        <v>I</v>
      </c>
      <c r="C13" s="3">
        <f t="shared" si="2"/>
        <v>56074.472500000003</v>
      </c>
      <c r="D13" s="4" t="str">
        <f t="shared" si="3"/>
        <v>vis</v>
      </c>
      <c r="E13" s="20">
        <f>VLOOKUP(C13,Active!C$21:E$973,3,FALSE)</f>
        <v>10482.02050440872</v>
      </c>
      <c r="F13" s="2" t="s">
        <v>50</v>
      </c>
      <c r="G13" s="4" t="str">
        <f t="shared" si="4"/>
        <v>56074.4725</v>
      </c>
      <c r="H13" s="3">
        <f t="shared" si="5"/>
        <v>10482</v>
      </c>
      <c r="I13" s="21" t="s">
        <v>106</v>
      </c>
      <c r="J13" s="22" t="s">
        <v>107</v>
      </c>
      <c r="K13" s="21" t="s">
        <v>108</v>
      </c>
      <c r="L13" s="21" t="s">
        <v>109</v>
      </c>
      <c r="M13" s="22" t="s">
        <v>102</v>
      </c>
      <c r="N13" s="22" t="s">
        <v>103</v>
      </c>
      <c r="O13" s="23" t="s">
        <v>110</v>
      </c>
      <c r="P13" s="24" t="s">
        <v>111</v>
      </c>
    </row>
    <row r="14" spans="1:16" ht="12.75" customHeight="1" thickBot="1" x14ac:dyDescent="0.25">
      <c r="A14" s="3" t="str">
        <f t="shared" si="0"/>
        <v>OEJV 0160 </v>
      </c>
      <c r="B14" s="2" t="str">
        <f t="shared" si="1"/>
        <v>I</v>
      </c>
      <c r="C14" s="3">
        <f t="shared" si="2"/>
        <v>56153.372790000001</v>
      </c>
      <c r="D14" s="4" t="str">
        <f t="shared" si="3"/>
        <v>vis</v>
      </c>
      <c r="E14" s="20">
        <f>VLOOKUP(C14,Active!C$21:E$973,3,FALSE)</f>
        <v>10522.021785053377</v>
      </c>
      <c r="F14" s="2" t="s">
        <v>50</v>
      </c>
      <c r="G14" s="4" t="str">
        <f t="shared" si="4"/>
        <v>56153.37279</v>
      </c>
      <c r="H14" s="3">
        <f t="shared" si="5"/>
        <v>10522</v>
      </c>
      <c r="I14" s="21" t="s">
        <v>112</v>
      </c>
      <c r="J14" s="22" t="s">
        <v>113</v>
      </c>
      <c r="K14" s="21" t="s">
        <v>114</v>
      </c>
      <c r="L14" s="21" t="s">
        <v>115</v>
      </c>
      <c r="M14" s="22" t="s">
        <v>102</v>
      </c>
      <c r="N14" s="22" t="s">
        <v>42</v>
      </c>
      <c r="O14" s="23" t="s">
        <v>116</v>
      </c>
      <c r="P14" s="24" t="s">
        <v>117</v>
      </c>
    </row>
    <row r="15" spans="1:16" ht="12.75" customHeight="1" thickBot="1" x14ac:dyDescent="0.25">
      <c r="A15" s="3" t="str">
        <f t="shared" si="0"/>
        <v> AHSB 6.3.56 </v>
      </c>
      <c r="B15" s="2" t="str">
        <f t="shared" si="1"/>
        <v>I</v>
      </c>
      <c r="C15" s="3">
        <f t="shared" si="2"/>
        <v>34239.445</v>
      </c>
      <c r="D15" s="4" t="str">
        <f t="shared" si="3"/>
        <v>vis</v>
      </c>
      <c r="E15" s="20">
        <f>VLOOKUP(C15,Active!C$21:E$973,3,FALSE)</f>
        <v>-588.01565022806039</v>
      </c>
      <c r="F15" s="2" t="s">
        <v>50</v>
      </c>
      <c r="G15" s="4" t="str">
        <f t="shared" si="4"/>
        <v>34239.445</v>
      </c>
      <c r="H15" s="3">
        <f t="shared" si="5"/>
        <v>-588</v>
      </c>
      <c r="I15" s="21" t="s">
        <v>52</v>
      </c>
      <c r="J15" s="22" t="s">
        <v>53</v>
      </c>
      <c r="K15" s="21">
        <v>-588</v>
      </c>
      <c r="L15" s="21" t="s">
        <v>54</v>
      </c>
      <c r="M15" s="22" t="s">
        <v>55</v>
      </c>
      <c r="N15" s="22"/>
      <c r="O15" s="23" t="s">
        <v>56</v>
      </c>
      <c r="P15" s="23" t="s">
        <v>57</v>
      </c>
    </row>
    <row r="16" spans="1:16" ht="12.75" customHeight="1" thickBot="1" x14ac:dyDescent="0.25">
      <c r="A16" s="3" t="str">
        <f t="shared" si="0"/>
        <v> AHSB 6.3.56 </v>
      </c>
      <c r="B16" s="2" t="str">
        <f t="shared" si="1"/>
        <v>I</v>
      </c>
      <c r="C16" s="3">
        <f t="shared" si="2"/>
        <v>34602.410000000003</v>
      </c>
      <c r="D16" s="4" t="str">
        <f t="shared" si="3"/>
        <v>vis</v>
      </c>
      <c r="E16" s="20">
        <f>VLOOKUP(C16,Active!C$21:E$973,3,FALSE)</f>
        <v>-403.99776095048657</v>
      </c>
      <c r="F16" s="2" t="s">
        <v>50</v>
      </c>
      <c r="G16" s="4" t="str">
        <f t="shared" si="4"/>
        <v>34602.410</v>
      </c>
      <c r="H16" s="3">
        <f t="shared" si="5"/>
        <v>-404</v>
      </c>
      <c r="I16" s="21" t="s">
        <v>58</v>
      </c>
      <c r="J16" s="22" t="s">
        <v>59</v>
      </c>
      <c r="K16" s="21">
        <v>-404</v>
      </c>
      <c r="L16" s="21" t="s">
        <v>60</v>
      </c>
      <c r="M16" s="22" t="s">
        <v>55</v>
      </c>
      <c r="N16" s="22"/>
      <c r="O16" s="23" t="s">
        <v>56</v>
      </c>
      <c r="P16" s="23" t="s">
        <v>57</v>
      </c>
    </row>
    <row r="17" spans="1:16" ht="12.75" customHeight="1" thickBot="1" x14ac:dyDescent="0.25">
      <c r="A17" s="3" t="str">
        <f t="shared" si="0"/>
        <v> AHSB 6.3.56 </v>
      </c>
      <c r="B17" s="2" t="str">
        <f t="shared" si="1"/>
        <v>I</v>
      </c>
      <c r="C17" s="3">
        <f t="shared" si="2"/>
        <v>34604.400000000001</v>
      </c>
      <c r="D17" s="4" t="str">
        <f t="shared" si="3"/>
        <v>vis</v>
      </c>
      <c r="E17" s="20">
        <f>VLOOKUP(C17,Active!C$21:E$973,3,FALSE)</f>
        <v>-402.98886036871698</v>
      </c>
      <c r="F17" s="2" t="s">
        <v>50</v>
      </c>
      <c r="G17" s="4" t="str">
        <f t="shared" si="4"/>
        <v>34604.400</v>
      </c>
      <c r="H17" s="3">
        <f t="shared" si="5"/>
        <v>-403</v>
      </c>
      <c r="I17" s="21" t="s">
        <v>61</v>
      </c>
      <c r="J17" s="22" t="s">
        <v>62</v>
      </c>
      <c r="K17" s="21">
        <v>-403</v>
      </c>
      <c r="L17" s="21" t="s">
        <v>63</v>
      </c>
      <c r="M17" s="22" t="s">
        <v>55</v>
      </c>
      <c r="N17" s="22"/>
      <c r="O17" s="23" t="s">
        <v>56</v>
      </c>
      <c r="P17" s="23" t="s">
        <v>57</v>
      </c>
    </row>
    <row r="18" spans="1:16" ht="12.75" customHeight="1" thickBot="1" x14ac:dyDescent="0.25">
      <c r="A18" s="3" t="str">
        <f t="shared" si="0"/>
        <v> AHSB 6.3.56 </v>
      </c>
      <c r="B18" s="2" t="str">
        <f t="shared" si="1"/>
        <v>I</v>
      </c>
      <c r="C18" s="3">
        <f t="shared" si="2"/>
        <v>35044.254999999997</v>
      </c>
      <c r="D18" s="4" t="str">
        <f t="shared" si="3"/>
        <v>vis</v>
      </c>
      <c r="E18" s="20">
        <f>VLOOKUP(C18,Active!C$21:E$973,3,FALSE)</f>
        <v>-179.98887775831199</v>
      </c>
      <c r="F18" s="2" t="s">
        <v>50</v>
      </c>
      <c r="G18" s="4" t="str">
        <f t="shared" si="4"/>
        <v>35044.255</v>
      </c>
      <c r="H18" s="3">
        <f t="shared" si="5"/>
        <v>-180</v>
      </c>
      <c r="I18" s="21" t="s">
        <v>64</v>
      </c>
      <c r="J18" s="22" t="s">
        <v>65</v>
      </c>
      <c r="K18" s="21">
        <v>-180</v>
      </c>
      <c r="L18" s="21" t="s">
        <v>63</v>
      </c>
      <c r="M18" s="22" t="s">
        <v>55</v>
      </c>
      <c r="N18" s="22"/>
      <c r="O18" s="23" t="s">
        <v>56</v>
      </c>
      <c r="P18" s="23" t="s">
        <v>57</v>
      </c>
    </row>
    <row r="19" spans="1:16" ht="12.75" customHeight="1" thickBot="1" x14ac:dyDescent="0.25">
      <c r="A19" s="3" t="str">
        <f t="shared" si="0"/>
        <v> AHSB 6.3.56 </v>
      </c>
      <c r="B19" s="2" t="str">
        <f t="shared" si="1"/>
        <v>I</v>
      </c>
      <c r="C19" s="3">
        <f t="shared" si="2"/>
        <v>35310.49</v>
      </c>
      <c r="D19" s="4" t="str">
        <f t="shared" si="3"/>
        <v>vis</v>
      </c>
      <c r="E19" s="20">
        <f>VLOOKUP(C19,Active!C$21:E$973,3,FALSE)</f>
        <v>-45.011668518262745</v>
      </c>
      <c r="F19" s="2" t="s">
        <v>50</v>
      </c>
      <c r="G19" s="4" t="str">
        <f t="shared" si="4"/>
        <v>35310.490</v>
      </c>
      <c r="H19" s="3">
        <f t="shared" si="5"/>
        <v>-45</v>
      </c>
      <c r="I19" s="21" t="s">
        <v>66</v>
      </c>
      <c r="J19" s="22" t="s">
        <v>67</v>
      </c>
      <c r="K19" s="21">
        <v>-45</v>
      </c>
      <c r="L19" s="21" t="s">
        <v>68</v>
      </c>
      <c r="M19" s="22" t="s">
        <v>55</v>
      </c>
      <c r="N19" s="22"/>
      <c r="O19" s="23" t="s">
        <v>56</v>
      </c>
      <c r="P19" s="23" t="s">
        <v>57</v>
      </c>
    </row>
    <row r="20" spans="1:16" ht="12.75" customHeight="1" thickBot="1" x14ac:dyDescent="0.25">
      <c r="A20" s="3" t="str">
        <f t="shared" si="0"/>
        <v> AHSB 6.3.56 </v>
      </c>
      <c r="B20" s="2" t="str">
        <f t="shared" si="1"/>
        <v>I</v>
      </c>
      <c r="C20" s="3">
        <f t="shared" si="2"/>
        <v>35391.35</v>
      </c>
      <c r="D20" s="4" t="str">
        <f t="shared" si="3"/>
        <v>vis</v>
      </c>
      <c r="E20" s="20">
        <f>VLOOKUP(C20,Active!C$21:E$973,3,FALSE)</f>
        <v>-4.016843874055799</v>
      </c>
      <c r="F20" s="2" t="s">
        <v>50</v>
      </c>
      <c r="G20" s="4" t="str">
        <f t="shared" si="4"/>
        <v>35391.350</v>
      </c>
      <c r="H20" s="3">
        <f t="shared" si="5"/>
        <v>-4</v>
      </c>
      <c r="I20" s="21" t="s">
        <v>69</v>
      </c>
      <c r="J20" s="22" t="s">
        <v>70</v>
      </c>
      <c r="K20" s="21">
        <v>-4</v>
      </c>
      <c r="L20" s="21" t="s">
        <v>71</v>
      </c>
      <c r="M20" s="22" t="s">
        <v>55</v>
      </c>
      <c r="N20" s="22"/>
      <c r="O20" s="23" t="s">
        <v>56</v>
      </c>
      <c r="P20" s="23" t="s">
        <v>57</v>
      </c>
    </row>
    <row r="21" spans="1:16" ht="12.75" customHeight="1" thickBot="1" x14ac:dyDescent="0.25">
      <c r="A21" s="3" t="str">
        <f t="shared" si="0"/>
        <v> AHSB 6.3.56 </v>
      </c>
      <c r="B21" s="2" t="str">
        <f t="shared" si="1"/>
        <v>I</v>
      </c>
      <c r="C21" s="3">
        <f t="shared" si="2"/>
        <v>35399.31</v>
      </c>
      <c r="D21" s="4" t="str">
        <f t="shared" si="3"/>
        <v>vis</v>
      </c>
      <c r="E21" s="20">
        <f>VLOOKUP(C21,Active!C$21:E$973,3,FALSE)</f>
        <v>1.8758453026184091E-2</v>
      </c>
      <c r="F21" s="2" t="s">
        <v>50</v>
      </c>
      <c r="G21" s="4" t="str">
        <f t="shared" si="4"/>
        <v>35399.310</v>
      </c>
      <c r="H21" s="3">
        <f t="shared" si="5"/>
        <v>0</v>
      </c>
      <c r="I21" s="21" t="s">
        <v>72</v>
      </c>
      <c r="J21" s="22" t="s">
        <v>73</v>
      </c>
      <c r="K21" s="21">
        <v>0</v>
      </c>
      <c r="L21" s="21" t="s">
        <v>74</v>
      </c>
      <c r="M21" s="22" t="s">
        <v>55</v>
      </c>
      <c r="N21" s="22"/>
      <c r="O21" s="23" t="s">
        <v>56</v>
      </c>
      <c r="P21" s="23" t="s">
        <v>57</v>
      </c>
    </row>
    <row r="22" spans="1:16" ht="12.75" customHeight="1" thickBot="1" x14ac:dyDescent="0.25">
      <c r="A22" s="3" t="str">
        <f t="shared" si="0"/>
        <v> AHSB 6.3.56 </v>
      </c>
      <c r="B22" s="2" t="str">
        <f t="shared" si="1"/>
        <v>I</v>
      </c>
      <c r="C22" s="3">
        <f t="shared" si="2"/>
        <v>36813.525000000001</v>
      </c>
      <c r="D22" s="4" t="str">
        <f t="shared" si="3"/>
        <v>vis</v>
      </c>
      <c r="E22" s="20">
        <f>VLOOKUP(C22,Active!C$21:E$973,3,FALSE)</f>
        <v>717.00485707047437</v>
      </c>
      <c r="F22" s="2" t="s">
        <v>50</v>
      </c>
      <c r="G22" s="4" t="str">
        <f t="shared" si="4"/>
        <v>36813.525</v>
      </c>
      <c r="H22" s="3">
        <f t="shared" si="5"/>
        <v>717</v>
      </c>
      <c r="I22" s="21" t="s">
        <v>75</v>
      </c>
      <c r="J22" s="22" t="s">
        <v>76</v>
      </c>
      <c r="K22" s="21">
        <v>717</v>
      </c>
      <c r="L22" s="21" t="s">
        <v>77</v>
      </c>
      <c r="M22" s="22" t="s">
        <v>55</v>
      </c>
      <c r="N22" s="22"/>
      <c r="O22" s="23" t="s">
        <v>56</v>
      </c>
      <c r="P22" s="23" t="s">
        <v>57</v>
      </c>
    </row>
    <row r="23" spans="1:16" ht="12.75" customHeight="1" thickBot="1" x14ac:dyDescent="0.25">
      <c r="A23" s="3" t="str">
        <f t="shared" si="0"/>
        <v> AHSB 6.3.56 </v>
      </c>
      <c r="B23" s="2" t="str">
        <f t="shared" si="1"/>
        <v>I</v>
      </c>
      <c r="C23" s="3">
        <f t="shared" si="2"/>
        <v>36815.480000000003</v>
      </c>
      <c r="D23" s="4" t="str">
        <f t="shared" si="3"/>
        <v>vis</v>
      </c>
      <c r="E23" s="20">
        <f>VLOOKUP(C23,Active!C$21:E$973,3,FALSE)</f>
        <v>717.99601316965186</v>
      </c>
      <c r="F23" s="2" t="s">
        <v>50</v>
      </c>
      <c r="G23" s="4" t="str">
        <f t="shared" si="4"/>
        <v>36815.480</v>
      </c>
      <c r="H23" s="3">
        <f t="shared" si="5"/>
        <v>718</v>
      </c>
      <c r="I23" s="21" t="s">
        <v>78</v>
      </c>
      <c r="J23" s="22" t="s">
        <v>79</v>
      </c>
      <c r="K23" s="21">
        <v>718</v>
      </c>
      <c r="L23" s="21" t="s">
        <v>80</v>
      </c>
      <c r="M23" s="22" t="s">
        <v>55</v>
      </c>
      <c r="N23" s="22"/>
      <c r="O23" s="23" t="s">
        <v>56</v>
      </c>
      <c r="P23" s="23" t="s">
        <v>57</v>
      </c>
    </row>
    <row r="24" spans="1:16" ht="12.75" customHeight="1" thickBot="1" x14ac:dyDescent="0.25">
      <c r="A24" s="3" t="str">
        <f t="shared" si="0"/>
        <v> AHSB 6.3.56 </v>
      </c>
      <c r="B24" s="2" t="str">
        <f t="shared" si="1"/>
        <v>I</v>
      </c>
      <c r="C24" s="3">
        <f t="shared" si="2"/>
        <v>36817.445</v>
      </c>
      <c r="D24" s="4" t="str">
        <f t="shared" si="3"/>
        <v>vis</v>
      </c>
      <c r="E24" s="20">
        <f>VLOOKUP(C24,Active!C$21:E$973,3,FALSE)</f>
        <v>718.99223912099649</v>
      </c>
      <c r="F24" s="2" t="s">
        <v>50</v>
      </c>
      <c r="G24" s="4" t="str">
        <f t="shared" si="4"/>
        <v>36817.445</v>
      </c>
      <c r="H24" s="3">
        <f t="shared" si="5"/>
        <v>719</v>
      </c>
      <c r="I24" s="21" t="s">
        <v>81</v>
      </c>
      <c r="J24" s="22" t="s">
        <v>82</v>
      </c>
      <c r="K24" s="21">
        <v>719</v>
      </c>
      <c r="L24" s="21" t="s">
        <v>83</v>
      </c>
      <c r="M24" s="22" t="s">
        <v>55</v>
      </c>
      <c r="N24" s="22"/>
      <c r="O24" s="23" t="s">
        <v>56</v>
      </c>
      <c r="P24" s="23" t="s">
        <v>57</v>
      </c>
    </row>
    <row r="25" spans="1:16" ht="12.75" customHeight="1" thickBot="1" x14ac:dyDescent="0.25">
      <c r="A25" s="3" t="str">
        <f t="shared" si="0"/>
        <v> AHSB 6.3.56 </v>
      </c>
      <c r="B25" s="2" t="str">
        <f t="shared" si="1"/>
        <v>I</v>
      </c>
      <c r="C25" s="3">
        <f t="shared" si="2"/>
        <v>36819.445</v>
      </c>
      <c r="D25" s="4" t="str">
        <f t="shared" si="3"/>
        <v>vis</v>
      </c>
      <c r="E25" s="20">
        <f>VLOOKUP(C25,Active!C$21:E$973,3,FALSE)</f>
        <v>720.00620955493685</v>
      </c>
      <c r="F25" s="2" t="s">
        <v>50</v>
      </c>
      <c r="G25" s="4" t="str">
        <f t="shared" si="4"/>
        <v>36819.445</v>
      </c>
      <c r="H25" s="3">
        <f t="shared" si="5"/>
        <v>720</v>
      </c>
      <c r="I25" s="21" t="s">
        <v>84</v>
      </c>
      <c r="J25" s="22" t="s">
        <v>85</v>
      </c>
      <c r="K25" s="21">
        <v>720</v>
      </c>
      <c r="L25" s="21" t="s">
        <v>86</v>
      </c>
      <c r="M25" s="22" t="s">
        <v>55</v>
      </c>
      <c r="N25" s="22"/>
      <c r="O25" s="23" t="s">
        <v>56</v>
      </c>
      <c r="P25" s="23" t="s">
        <v>57</v>
      </c>
    </row>
    <row r="26" spans="1:16" ht="12.75" customHeight="1" thickBot="1" x14ac:dyDescent="0.25">
      <c r="A26" s="3" t="str">
        <f t="shared" si="0"/>
        <v> AHSB 6.3.56 </v>
      </c>
      <c r="B26" s="2" t="str">
        <f t="shared" si="1"/>
        <v>I</v>
      </c>
      <c r="C26" s="3">
        <f t="shared" si="2"/>
        <v>36902.285000000003</v>
      </c>
      <c r="D26" s="4" t="str">
        <f t="shared" si="3"/>
        <v>vis</v>
      </c>
      <c r="E26" s="20">
        <f>VLOOKUP(C26,Active!C$21:E$973,3,FALSE)</f>
        <v>762.00486492874631</v>
      </c>
      <c r="F26" s="2" t="s">
        <v>50</v>
      </c>
      <c r="G26" s="4" t="str">
        <f t="shared" si="4"/>
        <v>36902.285</v>
      </c>
      <c r="H26" s="3">
        <f t="shared" si="5"/>
        <v>762</v>
      </c>
      <c r="I26" s="21" t="s">
        <v>87</v>
      </c>
      <c r="J26" s="22" t="s">
        <v>88</v>
      </c>
      <c r="K26" s="21">
        <v>762</v>
      </c>
      <c r="L26" s="21" t="s">
        <v>77</v>
      </c>
      <c r="M26" s="22" t="s">
        <v>55</v>
      </c>
      <c r="N26" s="22"/>
      <c r="O26" s="23" t="s">
        <v>56</v>
      </c>
      <c r="P26" s="23" t="s">
        <v>57</v>
      </c>
    </row>
    <row r="27" spans="1:16" ht="12.75" customHeight="1" thickBot="1" x14ac:dyDescent="0.25">
      <c r="A27" s="3" t="str">
        <f t="shared" si="0"/>
        <v> AHSB 6.3.56 </v>
      </c>
      <c r="B27" s="2" t="str">
        <f t="shared" si="1"/>
        <v>I</v>
      </c>
      <c r="C27" s="3">
        <f t="shared" si="2"/>
        <v>37174.46</v>
      </c>
      <c r="D27" s="4" t="str">
        <f t="shared" si="3"/>
        <v>vis</v>
      </c>
      <c r="E27" s="20">
        <f>VLOOKUP(C27,Active!C$21:E$973,3,FALSE)</f>
        <v>899.99356635759568</v>
      </c>
      <c r="F27" s="2" t="s">
        <v>50</v>
      </c>
      <c r="G27" s="4" t="str">
        <f t="shared" si="4"/>
        <v>37174.460</v>
      </c>
      <c r="H27" s="3">
        <f t="shared" si="5"/>
        <v>900</v>
      </c>
      <c r="I27" s="21" t="s">
        <v>89</v>
      </c>
      <c r="J27" s="22" t="s">
        <v>90</v>
      </c>
      <c r="K27" s="21">
        <v>900</v>
      </c>
      <c r="L27" s="21" t="s">
        <v>91</v>
      </c>
      <c r="M27" s="22" t="s">
        <v>55</v>
      </c>
      <c r="N27" s="22"/>
      <c r="O27" s="23" t="s">
        <v>56</v>
      </c>
      <c r="P27" s="23" t="s">
        <v>57</v>
      </c>
    </row>
    <row r="28" spans="1:16" x14ac:dyDescent="0.2">
      <c r="B28" s="2"/>
      <c r="E28" s="20"/>
      <c r="F28" s="2"/>
    </row>
    <row r="29" spans="1:16" x14ac:dyDescent="0.2">
      <c r="B29" s="2"/>
      <c r="E29" s="20"/>
      <c r="F29" s="2"/>
    </row>
    <row r="30" spans="1:16" x14ac:dyDescent="0.2">
      <c r="B30" s="2"/>
      <c r="E30" s="20"/>
      <c r="F30" s="2"/>
    </row>
    <row r="31" spans="1:16" x14ac:dyDescent="0.2">
      <c r="B31" s="2"/>
      <c r="E31" s="20"/>
      <c r="F31" s="2"/>
    </row>
    <row r="32" spans="1:16" x14ac:dyDescent="0.2">
      <c r="B32" s="2"/>
      <c r="E32" s="20"/>
      <c r="F32" s="2"/>
    </row>
    <row r="33" spans="2:6" x14ac:dyDescent="0.2">
      <c r="B33" s="2"/>
      <c r="E33" s="20"/>
      <c r="F33" s="2"/>
    </row>
    <row r="34" spans="2:6" x14ac:dyDescent="0.2">
      <c r="B34" s="2"/>
      <c r="E34" s="20"/>
      <c r="F34" s="2"/>
    </row>
    <row r="35" spans="2:6" x14ac:dyDescent="0.2">
      <c r="B35" s="2"/>
      <c r="E35" s="20"/>
      <c r="F35" s="2"/>
    </row>
    <row r="36" spans="2:6" x14ac:dyDescent="0.2">
      <c r="B36" s="2"/>
      <c r="E36" s="20"/>
      <c r="F36" s="2"/>
    </row>
    <row r="37" spans="2:6" x14ac:dyDescent="0.2">
      <c r="B37" s="2"/>
      <c r="E37" s="20"/>
      <c r="F37" s="2"/>
    </row>
    <row r="38" spans="2:6" x14ac:dyDescent="0.2">
      <c r="B38" s="2"/>
      <c r="E38" s="20"/>
      <c r="F38" s="2"/>
    </row>
    <row r="39" spans="2:6" x14ac:dyDescent="0.2">
      <c r="B39" s="2"/>
      <c r="E39" s="20"/>
      <c r="F39" s="2"/>
    </row>
    <row r="40" spans="2:6" x14ac:dyDescent="0.2">
      <c r="B40" s="2"/>
      <c r="E40" s="20"/>
      <c r="F40" s="2"/>
    </row>
    <row r="41" spans="2:6" x14ac:dyDescent="0.2">
      <c r="B41" s="2"/>
      <c r="E41" s="20"/>
      <c r="F41" s="2"/>
    </row>
    <row r="42" spans="2:6" x14ac:dyDescent="0.2">
      <c r="B42" s="2"/>
      <c r="E42" s="20"/>
      <c r="F42" s="2"/>
    </row>
    <row r="43" spans="2:6" x14ac:dyDescent="0.2">
      <c r="B43" s="2"/>
      <c r="E43" s="20"/>
      <c r="F43" s="2"/>
    </row>
    <row r="44" spans="2:6" x14ac:dyDescent="0.2">
      <c r="B44" s="2"/>
      <c r="E44" s="20"/>
      <c r="F44" s="2"/>
    </row>
    <row r="45" spans="2:6" x14ac:dyDescent="0.2">
      <c r="B45" s="2"/>
      <c r="E45" s="20"/>
      <c r="F45" s="2"/>
    </row>
    <row r="46" spans="2:6" x14ac:dyDescent="0.2">
      <c r="B46" s="2"/>
      <c r="E46" s="20"/>
      <c r="F46" s="2"/>
    </row>
    <row r="47" spans="2:6" x14ac:dyDescent="0.2">
      <c r="B47" s="2"/>
      <c r="E47" s="20"/>
      <c r="F47" s="2"/>
    </row>
    <row r="48" spans="2:6" x14ac:dyDescent="0.2">
      <c r="B48" s="2"/>
      <c r="E48" s="20"/>
      <c r="F48" s="2"/>
    </row>
    <row r="49" spans="2:6" x14ac:dyDescent="0.2">
      <c r="B49" s="2"/>
      <c r="E49" s="20"/>
      <c r="F49" s="2"/>
    </row>
    <row r="50" spans="2:6" x14ac:dyDescent="0.2">
      <c r="B50" s="2"/>
      <c r="E50" s="20"/>
      <c r="F50" s="2"/>
    </row>
    <row r="51" spans="2:6" x14ac:dyDescent="0.2">
      <c r="B51" s="2"/>
      <c r="E51" s="20"/>
      <c r="F51" s="2"/>
    </row>
    <row r="52" spans="2:6" x14ac:dyDescent="0.2">
      <c r="B52" s="2"/>
      <c r="E52" s="20"/>
      <c r="F52" s="2"/>
    </row>
    <row r="53" spans="2:6" x14ac:dyDescent="0.2">
      <c r="B53" s="2"/>
      <c r="E53" s="20"/>
      <c r="F53" s="2"/>
    </row>
    <row r="54" spans="2:6" x14ac:dyDescent="0.2">
      <c r="B54" s="2"/>
      <c r="E54" s="20"/>
      <c r="F54" s="2"/>
    </row>
    <row r="55" spans="2:6" x14ac:dyDescent="0.2">
      <c r="B55" s="2"/>
      <c r="E55" s="20"/>
      <c r="F55" s="2"/>
    </row>
    <row r="56" spans="2:6" x14ac:dyDescent="0.2">
      <c r="B56" s="2"/>
      <c r="E56" s="20"/>
      <c r="F56" s="2"/>
    </row>
    <row r="57" spans="2:6" x14ac:dyDescent="0.2">
      <c r="B57" s="2"/>
      <c r="E57" s="20"/>
      <c r="F57" s="2"/>
    </row>
    <row r="58" spans="2:6" x14ac:dyDescent="0.2">
      <c r="B58" s="2"/>
      <c r="E58" s="20"/>
      <c r="F58" s="2"/>
    </row>
    <row r="59" spans="2:6" x14ac:dyDescent="0.2">
      <c r="B59" s="2"/>
      <c r="E59" s="20"/>
      <c r="F59" s="2"/>
    </row>
    <row r="60" spans="2:6" x14ac:dyDescent="0.2">
      <c r="B60" s="2"/>
      <c r="E60" s="20"/>
      <c r="F60" s="2"/>
    </row>
    <row r="61" spans="2:6" x14ac:dyDescent="0.2">
      <c r="B61" s="2"/>
      <c r="E61" s="20"/>
      <c r="F61" s="2"/>
    </row>
    <row r="62" spans="2:6" x14ac:dyDescent="0.2">
      <c r="B62" s="2"/>
      <c r="E62" s="20"/>
      <c r="F62" s="2"/>
    </row>
    <row r="63" spans="2:6" x14ac:dyDescent="0.2">
      <c r="B63" s="2"/>
      <c r="E63" s="20"/>
      <c r="F63" s="2"/>
    </row>
    <row r="64" spans="2:6" x14ac:dyDescent="0.2">
      <c r="B64" s="2"/>
      <c r="E64" s="20"/>
      <c r="F64" s="2"/>
    </row>
    <row r="65" spans="2:6" x14ac:dyDescent="0.2">
      <c r="B65" s="2"/>
      <c r="E65" s="20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  <row r="818" spans="2:6" x14ac:dyDescent="0.2">
      <c r="B818" s="2"/>
      <c r="F818" s="2"/>
    </row>
    <row r="819" spans="2:6" x14ac:dyDescent="0.2">
      <c r="B819" s="2"/>
      <c r="F819" s="2"/>
    </row>
    <row r="820" spans="2:6" x14ac:dyDescent="0.2">
      <c r="B820" s="2"/>
      <c r="F820" s="2"/>
    </row>
    <row r="821" spans="2:6" x14ac:dyDescent="0.2">
      <c r="B821" s="2"/>
      <c r="F821" s="2"/>
    </row>
    <row r="822" spans="2:6" x14ac:dyDescent="0.2">
      <c r="B822" s="2"/>
      <c r="F822" s="2"/>
    </row>
    <row r="823" spans="2:6" x14ac:dyDescent="0.2">
      <c r="B823" s="2"/>
      <c r="F823" s="2"/>
    </row>
    <row r="824" spans="2:6" x14ac:dyDescent="0.2">
      <c r="B824" s="2"/>
      <c r="F824" s="2"/>
    </row>
    <row r="825" spans="2:6" x14ac:dyDescent="0.2">
      <c r="B825" s="2"/>
      <c r="F825" s="2"/>
    </row>
    <row r="826" spans="2:6" x14ac:dyDescent="0.2">
      <c r="B826" s="2"/>
      <c r="F826" s="2"/>
    </row>
    <row r="827" spans="2:6" x14ac:dyDescent="0.2">
      <c r="B827" s="2"/>
      <c r="F827" s="2"/>
    </row>
    <row r="828" spans="2:6" x14ac:dyDescent="0.2">
      <c r="B828" s="2"/>
      <c r="F828" s="2"/>
    </row>
    <row r="829" spans="2:6" x14ac:dyDescent="0.2">
      <c r="B829" s="2"/>
      <c r="F829" s="2"/>
    </row>
    <row r="830" spans="2:6" x14ac:dyDescent="0.2">
      <c r="B830" s="2"/>
      <c r="F830" s="2"/>
    </row>
    <row r="831" spans="2:6" x14ac:dyDescent="0.2">
      <c r="B831" s="2"/>
      <c r="F831" s="2"/>
    </row>
    <row r="832" spans="2:6" x14ac:dyDescent="0.2">
      <c r="B832" s="2"/>
      <c r="F832" s="2"/>
    </row>
    <row r="833" spans="2:6" x14ac:dyDescent="0.2">
      <c r="B833" s="2"/>
      <c r="F833" s="2"/>
    </row>
    <row r="834" spans="2:6" x14ac:dyDescent="0.2">
      <c r="B834" s="2"/>
      <c r="F834" s="2"/>
    </row>
    <row r="835" spans="2:6" x14ac:dyDescent="0.2">
      <c r="B835" s="2"/>
      <c r="F835" s="2"/>
    </row>
    <row r="836" spans="2:6" x14ac:dyDescent="0.2">
      <c r="B836" s="2"/>
      <c r="F836" s="2"/>
    </row>
    <row r="837" spans="2:6" x14ac:dyDescent="0.2">
      <c r="B837" s="2"/>
      <c r="F837" s="2"/>
    </row>
    <row r="838" spans="2:6" x14ac:dyDescent="0.2">
      <c r="B838" s="2"/>
      <c r="F838" s="2"/>
    </row>
    <row r="839" spans="2:6" x14ac:dyDescent="0.2">
      <c r="B839" s="2"/>
      <c r="F839" s="2"/>
    </row>
    <row r="840" spans="2:6" x14ac:dyDescent="0.2">
      <c r="B840" s="2"/>
      <c r="F840" s="2"/>
    </row>
    <row r="841" spans="2:6" x14ac:dyDescent="0.2">
      <c r="B841" s="2"/>
      <c r="F841" s="2"/>
    </row>
    <row r="842" spans="2:6" x14ac:dyDescent="0.2">
      <c r="B842" s="2"/>
      <c r="F842" s="2"/>
    </row>
    <row r="843" spans="2:6" x14ac:dyDescent="0.2">
      <c r="B843" s="2"/>
      <c r="F843" s="2"/>
    </row>
    <row r="844" spans="2:6" x14ac:dyDescent="0.2">
      <c r="B844" s="2"/>
      <c r="F844" s="2"/>
    </row>
    <row r="845" spans="2:6" x14ac:dyDescent="0.2">
      <c r="B845" s="2"/>
      <c r="F845" s="2"/>
    </row>
    <row r="846" spans="2:6" x14ac:dyDescent="0.2">
      <c r="B846" s="2"/>
      <c r="F846" s="2"/>
    </row>
    <row r="847" spans="2:6" x14ac:dyDescent="0.2">
      <c r="B847" s="2"/>
      <c r="F847" s="2"/>
    </row>
    <row r="848" spans="2:6" x14ac:dyDescent="0.2">
      <c r="B848" s="2"/>
      <c r="F848" s="2"/>
    </row>
    <row r="849" spans="2:6" x14ac:dyDescent="0.2">
      <c r="B849" s="2"/>
      <c r="F849" s="2"/>
    </row>
    <row r="850" spans="2:6" x14ac:dyDescent="0.2">
      <c r="B850" s="2"/>
      <c r="F850" s="2"/>
    </row>
    <row r="851" spans="2:6" x14ac:dyDescent="0.2">
      <c r="B851" s="2"/>
      <c r="F851" s="2"/>
    </row>
    <row r="852" spans="2:6" x14ac:dyDescent="0.2">
      <c r="B852" s="2"/>
      <c r="F852" s="2"/>
    </row>
    <row r="853" spans="2:6" x14ac:dyDescent="0.2">
      <c r="B853" s="2"/>
      <c r="F853" s="2"/>
    </row>
  </sheetData>
  <phoneticPr fontId="7" type="noConversion"/>
  <hyperlinks>
    <hyperlink ref="P11" r:id="rId1" display="http://www.konkoly.hu/cgi-bin/IBVS?5594" xr:uid="{00000000-0004-0000-0100-000000000000}"/>
    <hyperlink ref="P12" r:id="rId2" display="http://www.bav-astro.de/sfs/BAVM_link.php?BAVMnr=178" xr:uid="{00000000-0004-0000-0100-000001000000}"/>
    <hyperlink ref="P13" r:id="rId3" display="http://www.bav-astro.de/sfs/BAVM_link.php?BAVMnr=231" xr:uid="{00000000-0004-0000-0100-000002000000}"/>
    <hyperlink ref="P14" r:id="rId4" display="http://var.astro.cz/oejv/issues/oejv0160.pdf" xr:uid="{00000000-0004-0000-0100-000003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2024-07-29T06:06:23Z</dcterms:modified>
</cp:coreProperties>
</file>