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5E7379-C2F6-4D45-A728-D01EBDEFD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F14" i="1" l="1"/>
  <c r="C42" i="1"/>
  <c r="Q80" i="1"/>
  <c r="Q79" i="1"/>
  <c r="Q66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65" i="3"/>
  <c r="C65" i="3"/>
  <c r="G64" i="3"/>
  <c r="C64" i="3"/>
  <c r="G63" i="3"/>
  <c r="C63" i="3"/>
  <c r="E63" i="3"/>
  <c r="G62" i="3"/>
  <c r="C62" i="3"/>
  <c r="E62" i="3"/>
  <c r="G61" i="3"/>
  <c r="C61" i="3"/>
  <c r="E61" i="3"/>
  <c r="G21" i="3"/>
  <c r="C21" i="3"/>
  <c r="C7" i="1"/>
  <c r="E22" i="1"/>
  <c r="F22" i="1"/>
  <c r="C8" i="1"/>
  <c r="G20" i="3"/>
  <c r="C20" i="3"/>
  <c r="G19" i="3"/>
  <c r="C19" i="3"/>
  <c r="G18" i="3"/>
  <c r="C18" i="3"/>
  <c r="G17" i="3"/>
  <c r="C17" i="3"/>
  <c r="G60" i="3"/>
  <c r="C60" i="3"/>
  <c r="G16" i="3"/>
  <c r="C16" i="3"/>
  <c r="G15" i="3"/>
  <c r="C15" i="3"/>
  <c r="G14" i="3"/>
  <c r="C14" i="3"/>
  <c r="G13" i="3"/>
  <c r="C13" i="3"/>
  <c r="G12" i="3"/>
  <c r="C12" i="3"/>
  <c r="G11" i="3"/>
  <c r="C11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E23" i="3"/>
  <c r="G22" i="3"/>
  <c r="C22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60" i="3"/>
  <c r="D60" i="3"/>
  <c r="B60" i="3"/>
  <c r="A60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F11" i="1"/>
  <c r="G11" i="1"/>
  <c r="Q68" i="1"/>
  <c r="C17" i="1"/>
  <c r="Q75" i="1"/>
  <c r="Q76" i="1"/>
  <c r="Q77" i="1"/>
  <c r="Q78" i="1"/>
  <c r="Q73" i="1"/>
  <c r="Q74" i="1"/>
  <c r="Q70" i="1"/>
  <c r="Q71" i="1"/>
  <c r="Q72" i="1"/>
  <c r="F25" i="2"/>
  <c r="G25" i="2"/>
  <c r="I25" i="2"/>
  <c r="C7" i="2"/>
  <c r="E24" i="2"/>
  <c r="F24" i="2"/>
  <c r="E22" i="2"/>
  <c r="F22" i="2"/>
  <c r="G22" i="2"/>
  <c r="I22" i="2"/>
  <c r="E25" i="2"/>
  <c r="E26" i="2"/>
  <c r="F26" i="2"/>
  <c r="G26" i="2"/>
  <c r="I26" i="2"/>
  <c r="E27" i="2"/>
  <c r="F27" i="2"/>
  <c r="C19" i="2"/>
  <c r="C21" i="2"/>
  <c r="Q21" i="2"/>
  <c r="Q22" i="2"/>
  <c r="Q23" i="2"/>
  <c r="Q24" i="2"/>
  <c r="Q25" i="2"/>
  <c r="Q26" i="2"/>
  <c r="Q27" i="2"/>
  <c r="Q28" i="2"/>
  <c r="Q29" i="2"/>
  <c r="Q69" i="1"/>
  <c r="Q60" i="1"/>
  <c r="Q61" i="1"/>
  <c r="Q62" i="1"/>
  <c r="Q63" i="1"/>
  <c r="Q64" i="1"/>
  <c r="Q65" i="1"/>
  <c r="Q67" i="1"/>
  <c r="Q42" i="1"/>
  <c r="E52" i="3"/>
  <c r="E46" i="3"/>
  <c r="E21" i="2"/>
  <c r="F21" i="2"/>
  <c r="G21" i="2"/>
  <c r="E29" i="2"/>
  <c r="F29" i="2"/>
  <c r="G29" i="2"/>
  <c r="I29" i="2"/>
  <c r="E42" i="3"/>
  <c r="E64" i="3"/>
  <c r="G24" i="2"/>
  <c r="I24" i="2"/>
  <c r="E28" i="2"/>
  <c r="F28" i="2"/>
  <c r="G28" i="2"/>
  <c r="I28" i="2"/>
  <c r="G23" i="2"/>
  <c r="I23" i="2"/>
  <c r="E48" i="3"/>
  <c r="E65" i="3"/>
  <c r="G27" i="2"/>
  <c r="I27" i="2"/>
  <c r="E23" i="2"/>
  <c r="F23" i="2"/>
  <c r="E31" i="3"/>
  <c r="E17" i="3"/>
  <c r="E32" i="3"/>
  <c r="E55" i="3"/>
  <c r="E12" i="3"/>
  <c r="E21" i="3"/>
  <c r="E74" i="1"/>
  <c r="F74" i="1"/>
  <c r="G74" i="1"/>
  <c r="K74" i="1"/>
  <c r="G68" i="1"/>
  <c r="J68" i="1"/>
  <c r="E65" i="1"/>
  <c r="F65" i="1"/>
  <c r="G66" i="1"/>
  <c r="I66" i="1"/>
  <c r="E52" i="1"/>
  <c r="F52" i="1"/>
  <c r="G46" i="1"/>
  <c r="I46" i="1"/>
  <c r="E44" i="1"/>
  <c r="F44" i="1"/>
  <c r="G44" i="1"/>
  <c r="I44" i="1"/>
  <c r="E35" i="1"/>
  <c r="F35" i="1"/>
  <c r="G29" i="1"/>
  <c r="I29" i="1"/>
  <c r="E27" i="1"/>
  <c r="F27" i="1"/>
  <c r="E71" i="1"/>
  <c r="F71" i="1"/>
  <c r="E62" i="1"/>
  <c r="F62" i="1"/>
  <c r="G62" i="1"/>
  <c r="J62" i="1"/>
  <c r="E66" i="1"/>
  <c r="F66" i="1"/>
  <c r="E57" i="1"/>
  <c r="F57" i="1"/>
  <c r="E49" i="1"/>
  <c r="F49" i="1"/>
  <c r="E40" i="1"/>
  <c r="F40" i="1"/>
  <c r="G34" i="1"/>
  <c r="I34" i="1"/>
  <c r="E32" i="1"/>
  <c r="F32" i="1"/>
  <c r="E24" i="1"/>
  <c r="F24" i="1"/>
  <c r="G78" i="1"/>
  <c r="K78" i="1"/>
  <c r="E76" i="1"/>
  <c r="F76" i="1"/>
  <c r="G76" i="1"/>
  <c r="K76" i="1"/>
  <c r="E68" i="1"/>
  <c r="F68" i="1"/>
  <c r="G61" i="1"/>
  <c r="J61" i="1"/>
  <c r="E42" i="1"/>
  <c r="F42" i="1"/>
  <c r="G42" i="1"/>
  <c r="H42" i="1"/>
  <c r="E54" i="1"/>
  <c r="F54" i="1"/>
  <c r="G54" i="1"/>
  <c r="I54" i="1"/>
  <c r="E46" i="1"/>
  <c r="F46" i="1"/>
  <c r="E37" i="1"/>
  <c r="F37" i="1"/>
  <c r="G37" i="1"/>
  <c r="I37" i="1"/>
  <c r="G31" i="1"/>
  <c r="I31" i="1"/>
  <c r="E29" i="1"/>
  <c r="F29" i="1"/>
  <c r="E21" i="1"/>
  <c r="F21" i="1"/>
  <c r="G21" i="1"/>
  <c r="I21" i="1"/>
  <c r="E73" i="1"/>
  <c r="F73" i="1"/>
  <c r="G73" i="1"/>
  <c r="K73" i="1"/>
  <c r="E64" i="1"/>
  <c r="F64" i="1"/>
  <c r="G64" i="1"/>
  <c r="J64" i="1"/>
  <c r="E59" i="1"/>
  <c r="F59" i="1"/>
  <c r="G59" i="1"/>
  <c r="I59" i="1"/>
  <c r="E51" i="1"/>
  <c r="F51" i="1"/>
  <c r="G51" i="1"/>
  <c r="I51" i="1"/>
  <c r="E43" i="1"/>
  <c r="F43" i="1"/>
  <c r="G43" i="1"/>
  <c r="I43" i="1"/>
  <c r="E34" i="1"/>
  <c r="F34" i="1"/>
  <c r="G28" i="1"/>
  <c r="I28" i="1"/>
  <c r="E26" i="1"/>
  <c r="F26" i="1"/>
  <c r="G26" i="1"/>
  <c r="I26" i="1"/>
  <c r="E78" i="1"/>
  <c r="F78" i="1"/>
  <c r="G72" i="1"/>
  <c r="K72" i="1"/>
  <c r="E70" i="1"/>
  <c r="F70" i="1"/>
  <c r="G70" i="1"/>
  <c r="K70" i="1"/>
  <c r="E61" i="1"/>
  <c r="F61" i="1"/>
  <c r="G58" i="1"/>
  <c r="I58" i="1"/>
  <c r="E56" i="1"/>
  <c r="F56" i="1"/>
  <c r="G56" i="1"/>
  <c r="I56" i="1"/>
  <c r="E48" i="1"/>
  <c r="F48" i="1"/>
  <c r="G48" i="1"/>
  <c r="I48" i="1"/>
  <c r="G41" i="1"/>
  <c r="I41" i="1"/>
  <c r="E39" i="1"/>
  <c r="F39" i="1"/>
  <c r="G39" i="1"/>
  <c r="I39" i="1"/>
  <c r="E31" i="1"/>
  <c r="F31" i="1"/>
  <c r="G25" i="1"/>
  <c r="I25" i="1"/>
  <c r="E23" i="1"/>
  <c r="F23" i="1"/>
  <c r="G23" i="1"/>
  <c r="I23" i="1"/>
  <c r="E75" i="1"/>
  <c r="F75" i="1"/>
  <c r="G75" i="1"/>
  <c r="K75" i="1"/>
  <c r="E67" i="1"/>
  <c r="F67" i="1"/>
  <c r="G67" i="1"/>
  <c r="J67" i="1"/>
  <c r="E80" i="1"/>
  <c r="F80" i="1"/>
  <c r="G80" i="1"/>
  <c r="K80" i="1"/>
  <c r="G55" i="1"/>
  <c r="I55" i="1"/>
  <c r="E53" i="1"/>
  <c r="F53" i="1"/>
  <c r="G53" i="1"/>
  <c r="I53" i="1"/>
  <c r="E45" i="1"/>
  <c r="F45" i="1"/>
  <c r="G45" i="1"/>
  <c r="I45" i="1"/>
  <c r="G38" i="1"/>
  <c r="I38" i="1"/>
  <c r="E36" i="1"/>
  <c r="F36" i="1"/>
  <c r="G36" i="1"/>
  <c r="I36" i="1"/>
  <c r="E28" i="1"/>
  <c r="F28" i="1"/>
  <c r="G22" i="1"/>
  <c r="I22" i="1"/>
  <c r="E72" i="1"/>
  <c r="F72" i="1"/>
  <c r="G65" i="1"/>
  <c r="J65" i="1"/>
  <c r="E63" i="1"/>
  <c r="F63" i="1"/>
  <c r="G63" i="1"/>
  <c r="J63" i="1"/>
  <c r="E58" i="1"/>
  <c r="F58" i="1"/>
  <c r="G52" i="1"/>
  <c r="I52" i="1"/>
  <c r="E50" i="1"/>
  <c r="F50" i="1"/>
  <c r="G50" i="1"/>
  <c r="I50" i="1"/>
  <c r="E41" i="1"/>
  <c r="F41" i="1"/>
  <c r="G35" i="1"/>
  <c r="I35" i="1"/>
  <c r="E33" i="1"/>
  <c r="F33" i="1"/>
  <c r="G33" i="1"/>
  <c r="I33" i="1"/>
  <c r="G27" i="1"/>
  <c r="I27" i="1"/>
  <c r="E25" i="1"/>
  <c r="F25" i="1"/>
  <c r="E77" i="1"/>
  <c r="F77" i="1"/>
  <c r="G77" i="1"/>
  <c r="K77" i="1"/>
  <c r="G71" i="1"/>
  <c r="K71" i="1"/>
  <c r="E69" i="1"/>
  <c r="F69" i="1"/>
  <c r="G69" i="1"/>
  <c r="K69" i="1"/>
  <c r="E60" i="1"/>
  <c r="F60" i="1"/>
  <c r="G60" i="1"/>
  <c r="J60" i="1"/>
  <c r="E79" i="1"/>
  <c r="F79" i="1"/>
  <c r="G79" i="1"/>
  <c r="K79" i="1"/>
  <c r="G57" i="1"/>
  <c r="I57" i="1"/>
  <c r="E55" i="1"/>
  <c r="F55" i="1"/>
  <c r="G49" i="1"/>
  <c r="I49" i="1"/>
  <c r="E47" i="1"/>
  <c r="F47" i="1"/>
  <c r="G47" i="1"/>
  <c r="I47" i="1"/>
  <c r="G40" i="1"/>
  <c r="I40" i="1"/>
  <c r="E38" i="1"/>
  <c r="F38" i="1"/>
  <c r="G32" i="1"/>
  <c r="I32" i="1"/>
  <c r="E30" i="1"/>
  <c r="F30" i="1"/>
  <c r="G30" i="1"/>
  <c r="I30" i="1"/>
  <c r="G24" i="1"/>
  <c r="I24" i="1"/>
  <c r="E38" i="3"/>
  <c r="E27" i="3"/>
  <c r="E26" i="3"/>
  <c r="E43" i="3"/>
  <c r="E20" i="3"/>
  <c r="H21" i="2"/>
  <c r="C12" i="2"/>
  <c r="C16" i="2"/>
  <c r="D18" i="2"/>
  <c r="C11" i="2"/>
  <c r="E19" i="3"/>
  <c r="E13" i="3"/>
  <c r="E18" i="3"/>
  <c r="E30" i="3"/>
  <c r="E16" i="3"/>
  <c r="E33" i="3"/>
  <c r="E14" i="3"/>
  <c r="E57" i="3"/>
  <c r="E56" i="3"/>
  <c r="E25" i="3"/>
  <c r="E53" i="3"/>
  <c r="E15" i="3"/>
  <c r="E58" i="3"/>
  <c r="E45" i="3"/>
  <c r="E47" i="3"/>
  <c r="E59" i="3"/>
  <c r="E39" i="3"/>
  <c r="E40" i="3"/>
  <c r="E34" i="3"/>
  <c r="E54" i="3"/>
  <c r="E50" i="3"/>
  <c r="E49" i="3"/>
  <c r="E60" i="3"/>
  <c r="E36" i="3"/>
  <c r="E41" i="3"/>
  <c r="E35" i="3"/>
  <c r="E28" i="3"/>
  <c r="E44" i="3"/>
  <c r="E37" i="3"/>
  <c r="E11" i="3"/>
  <c r="E24" i="3"/>
  <c r="E29" i="3"/>
  <c r="E22" i="3"/>
  <c r="E51" i="3"/>
  <c r="O25" i="2"/>
  <c r="O22" i="2"/>
  <c r="O28" i="2"/>
  <c r="O27" i="2"/>
  <c r="O23" i="2"/>
  <c r="O26" i="2"/>
  <c r="O29" i="2"/>
  <c r="O21" i="2"/>
  <c r="C15" i="2"/>
  <c r="C18" i="2"/>
  <c r="O24" i="2"/>
  <c r="C12" i="1"/>
  <c r="F15" i="1" l="1"/>
  <c r="C16" i="1"/>
  <c r="D18" i="1" s="1"/>
  <c r="C11" i="1"/>
  <c r="O63" i="1" l="1"/>
  <c r="O31" i="1"/>
  <c r="O34" i="1"/>
  <c r="O36" i="1"/>
  <c r="O28" i="1"/>
  <c r="O73" i="1"/>
  <c r="O77" i="1"/>
  <c r="O49" i="1"/>
  <c r="O68" i="1"/>
  <c r="O62" i="1"/>
  <c r="O72" i="1"/>
  <c r="O24" i="1"/>
  <c r="O27" i="1"/>
  <c r="O32" i="1"/>
  <c r="O52" i="1"/>
  <c r="O56" i="1"/>
  <c r="O79" i="1"/>
  <c r="O30" i="1"/>
  <c r="O46" i="1"/>
  <c r="O23" i="1"/>
  <c r="O39" i="1"/>
  <c r="O40" i="1"/>
  <c r="O55" i="1"/>
  <c r="O21" i="1"/>
  <c r="O57" i="1"/>
  <c r="O48" i="1"/>
  <c r="O69" i="1"/>
  <c r="O54" i="1"/>
  <c r="O53" i="1"/>
  <c r="O44" i="1"/>
  <c r="O65" i="1"/>
  <c r="O29" i="1"/>
  <c r="O75" i="1"/>
  <c r="O22" i="1"/>
  <c r="O45" i="1"/>
  <c r="O71" i="1"/>
  <c r="O26" i="1"/>
  <c r="O78" i="1"/>
  <c r="O58" i="1"/>
  <c r="O74" i="1"/>
  <c r="O25" i="1"/>
  <c r="O37" i="1"/>
  <c r="O61" i="1"/>
  <c r="O67" i="1"/>
  <c r="O66" i="1"/>
  <c r="O59" i="1"/>
  <c r="O50" i="1"/>
  <c r="O60" i="1"/>
  <c r="O47" i="1"/>
  <c r="O38" i="1"/>
  <c r="O64" i="1"/>
  <c r="O51" i="1"/>
  <c r="O35" i="1"/>
  <c r="O43" i="1"/>
  <c r="O76" i="1"/>
  <c r="O42" i="1"/>
  <c r="O70" i="1"/>
  <c r="O33" i="1"/>
  <c r="O41" i="1"/>
  <c r="C15" i="1"/>
  <c r="O80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<sst xmlns="http://schemas.openxmlformats.org/spreadsheetml/2006/main" count="626" uniqueCount="262">
  <si>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</si>
  <si>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</si>
  <si>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</si>
  <si>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</si>
  <si>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</si>
  <si>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</si>
  <si>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</si>
  <si>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</si>
  <si>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</si>
  <si>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</si>
  <si>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</si>
  <si>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</si>
  <si>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</si>
  <si>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</si>
  <si>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</si>
  <si>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</si>
  <si>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</si>
  <si>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</si>
  <si>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</si>
  <si>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</si>
  <si>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</si>
  <si>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</si>
  <si>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</si>
  <si>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</si>
  <si>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</si>
  <si>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</si>
  <si>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</si>
  <si>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</si>
  <si>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</si>
  <si>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</si>
  <si>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</si>
  <si>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GU Vul</t>
  </si>
  <si>
    <t>Sp:  na</t>
  </si>
  <si>
    <t>EW</t>
  </si>
  <si>
    <t>BBSAG Bull.105</t>
  </si>
  <si>
    <t>BBSAG Bull.108</t>
  </si>
  <si>
    <t>BBSAG Bull.111</t>
  </si>
  <si>
    <t>IBVS 5378</t>
  </si>
  <si>
    <t>I</t>
  </si>
  <si>
    <t>IBVS</t>
  </si>
  <si>
    <t>II</t>
  </si>
  <si>
    <t># of data points:</t>
  </si>
  <si>
    <t>GU Vul / GSC 02148-00479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</si>
  <si>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</si>
  <si>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</si>
  <si>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</si>
  <si>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</si>
  <si>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</si>
  <si>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</si>
  <si>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0094</t>
  </si>
  <si>
    <t>OEJV 0074</t>
  </si>
  <si>
    <t>Add cycle</t>
  </si>
  <si>
    <t>Old Cycle</t>
  </si>
  <si>
    <t>IBVS 6006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</si>
  <si>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</si>
  <si>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</si>
  <si>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</si>
  <si>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</si>
  <si>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</si>
  <si>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</si>
  <si>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</si>
  <si>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</si>
  <si>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</si>
  <si>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</si>
  <si>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</si>
  <si>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</si>
  <si>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2432763.405 </t>
  </si>
  <si>
    <t> 30.07.1948 21:43 </t>
  </si>
  <si>
    <t> 0.014 </t>
  </si>
  <si>
    <t>P </t>
  </si>
  <si>
    <t> A.A.Wachmann </t>
  </si>
  <si>
    <t> AHSB 6.3.58 </t>
  </si>
  <si>
    <t>2432764.535 </t>
  </si>
  <si>
    <t> 01.08.1948 00:50 </t>
  </si>
  <si>
    <t> -0.018 </t>
  </si>
  <si>
    <t>2432792.407 </t>
  </si>
  <si>
    <t> 28.08.1948 21:46 </t>
  </si>
  <si>
    <t>2432794.363 </t>
  </si>
  <si>
    <t> 30.08.1948 20:42 </t>
  </si>
  <si>
    <t> 0.003 </t>
  </si>
  <si>
    <t>2433891.456 </t>
  </si>
  <si>
    <t> 01.09.1951 22:56 </t>
  </si>
  <si>
    <t> 0.016 </t>
  </si>
  <si>
    <t>2433893.364 </t>
  </si>
  <si>
    <t> 03.09.1951 20:44 </t>
  </si>
  <si>
    <t> -0.012 </t>
  </si>
  <si>
    <t>2433922.392 </t>
  </si>
  <si>
    <t> 02.10.1951 21:24 </t>
  </si>
  <si>
    <t> -0.017 </t>
  </si>
  <si>
    <t>2433926.275 </t>
  </si>
  <si>
    <t> 06.10.1951 18:36 </t>
  </si>
  <si>
    <t> -0.005 </t>
  </si>
  <si>
    <t>2434122.554 </t>
  </si>
  <si>
    <t> 20.04.1952 01:17 </t>
  </si>
  <si>
    <t> 0.007 </t>
  </si>
  <si>
    <t>2434153.515 </t>
  </si>
  <si>
    <t> 21.05.1952 00:21 </t>
  </si>
  <si>
    <t> -0.001 </t>
  </si>
  <si>
    <t>2434225.501 </t>
  </si>
  <si>
    <t> 01.08.1952 00:01 </t>
  </si>
  <si>
    <t>2434239.427 </t>
  </si>
  <si>
    <t> 14.08.1952 22:14 </t>
  </si>
  <si>
    <t> -0.028 </t>
  </si>
  <si>
    <t>2434601.440 </t>
  </si>
  <si>
    <t> 11.08.1953 22:33 </t>
  </si>
  <si>
    <t> 0.034 </t>
  </si>
  <si>
    <t>2434604.476 </t>
  </si>
  <si>
    <t> 14.08.1953 23:25 </t>
  </si>
  <si>
    <t> -0.027 </t>
  </si>
  <si>
    <t>2434627.345 </t>
  </si>
  <si>
    <t> 06.09.1953 20:16 </t>
  </si>
  <si>
    <t> 0.002 </t>
  </si>
  <si>
    <t>2434628.520 </t>
  </si>
  <si>
    <t> 08.09.1953 00:28 </t>
  </si>
  <si>
    <t>2434634.308 </t>
  </si>
  <si>
    <t> 13.09.1953 19:23 </t>
  </si>
  <si>
    <t>2434637.430 </t>
  </si>
  <si>
    <t> 16.09.1953 22:19 </t>
  </si>
  <si>
    <t> 0.022 </t>
  </si>
  <si>
    <t>2434947.473 </t>
  </si>
  <si>
    <t> 23.07.1954 23:21 </t>
  </si>
  <si>
    <t> -0.013 </t>
  </si>
  <si>
    <t>2434981.544 </t>
  </si>
  <si>
    <t> 27.08.1954 01:03 </t>
  </si>
  <si>
    <t> -0.008 </t>
  </si>
  <si>
    <t>2434985.422 </t>
  </si>
  <si>
    <t> 30.08.1954 22:07 </t>
  </si>
  <si>
    <t>2435044.256 </t>
  </si>
  <si>
    <t> 28.10.1954 18:08 </t>
  </si>
  <si>
    <t>2435066.321 </t>
  </si>
  <si>
    <t> 19.11.1954 19:42 </t>
  </si>
  <si>
    <t> -0.009 </t>
  </si>
  <si>
    <t>2435185.595 </t>
  </si>
  <si>
    <t> 19.03.1955 02:16 </t>
  </si>
  <si>
    <t>2435309.456 </t>
  </si>
  <si>
    <t> 20.07.1955 22:56 </t>
  </si>
  <si>
    <t> 0.019 </t>
  </si>
  <si>
    <t>2435319.529 </t>
  </si>
  <si>
    <t> 31.07.1955 00:41 </t>
  </si>
  <si>
    <t> 0.027 </t>
  </si>
  <si>
    <t>2435371.370 </t>
  </si>
  <si>
    <t> 20.09.1955 20:52 </t>
  </si>
  <si>
    <t>2435373.285 </t>
  </si>
  <si>
    <t> 22.09.1955 18:50 </t>
  </si>
  <si>
    <t> -0.026 </t>
  </si>
  <si>
    <t>2435374.465 </t>
  </si>
  <si>
    <t> 23.09.1955 23:09 </t>
  </si>
  <si>
    <t> -0.007 </t>
  </si>
  <si>
    <t>2435428.270 </t>
  </si>
  <si>
    <t> 16.11.1955 18:28 </t>
  </si>
  <si>
    <t> -0.011 </t>
  </si>
  <si>
    <t>2435454.230 </t>
  </si>
  <si>
    <t> 12.12.1955 17:31 </t>
  </si>
  <si>
    <t> 0.013 </t>
  </si>
  <si>
    <t>2436815.310 </t>
  </si>
  <si>
    <t> 03.09.1959 19:26 </t>
  </si>
  <si>
    <t> 0.001 </t>
  </si>
  <si>
    <t>2436815.660 </t>
  </si>
  <si>
    <t> 04.09.1959 03:50 </t>
  </si>
  <si>
    <t> -0.036 </t>
  </si>
  <si>
    <t>2436816.480 </t>
  </si>
  <si>
    <t> 04.09.1959 23:31 </t>
  </si>
  <si>
    <t> 0.010 </t>
  </si>
  <si>
    <t>2436818.420 </t>
  </si>
  <si>
    <t> 06.09.1959 22:04 </t>
  </si>
  <si>
    <t>2436849.375 </t>
  </si>
  <si>
    <t> 07.10.1959 21:00 </t>
  </si>
  <si>
    <t> 0.000 </t>
  </si>
  <si>
    <t>2437143.560 </t>
  </si>
  <si>
    <t> 28.07.1960 01:26 </t>
  </si>
  <si>
    <t> -0.021 </t>
  </si>
  <si>
    <t>2445945.403 </t>
  </si>
  <si>
    <t> 01.09.1984 21:40 </t>
  </si>
  <si>
    <t>V </t>
  </si>
  <si>
    <t> H.Grzelczyk </t>
  </si>
  <si>
    <t>BAVM 39 </t>
  </si>
  <si>
    <t>2448475.473 </t>
  </si>
  <si>
    <t> 06.08.1991 23:21 </t>
  </si>
  <si>
    <t> -0.082 </t>
  </si>
  <si>
    <t> J.Vandenbroere </t>
  </si>
  <si>
    <t> BBS 105 </t>
  </si>
  <si>
    <t>2448499.441 </t>
  </si>
  <si>
    <t> 30.08.1991 22:35 </t>
  </si>
  <si>
    <t> -0.115 </t>
  </si>
  <si>
    <t> R.Boninsegna </t>
  </si>
  <si>
    <t>2449212.501 </t>
  </si>
  <si>
    <t> 13.08.1993 00:01 </t>
  </si>
  <si>
    <t> -0.118 </t>
  </si>
  <si>
    <t>2449546.580 </t>
  </si>
  <si>
    <t> 13.07.1994 01:55 </t>
  </si>
  <si>
    <t> BBS 108 </t>
  </si>
  <si>
    <t>2449579.492 </t>
  </si>
  <si>
    <t> 14.08.1994 23:48 </t>
  </si>
  <si>
    <t> -0.111 </t>
  </si>
  <si>
    <t>2449961.489 </t>
  </si>
  <si>
    <t> 31.08.1995 23:44 </t>
  </si>
  <si>
    <t> -0.195 </t>
  </si>
  <si>
    <t> BBS 111 </t>
  </si>
  <si>
    <t>2450013.351 </t>
  </si>
  <si>
    <t> 22.10.1995 20:25 </t>
  </si>
  <si>
    <t> -0.206 </t>
  </si>
  <si>
    <t>2451430.4182 </t>
  </si>
  <si>
    <t> 08.09.1999 22:02 </t>
  </si>
  <si>
    <t> -0.3614 </t>
  </si>
  <si>
    <t>C </t>
  </si>
  <si>
    <t> M.Martignoni </t>
  </si>
  <si>
    <t>IBVS 6006 </t>
  </si>
  <si>
    <t>2452580.5231 </t>
  </si>
  <si>
    <t> 02.11.2002 00:33 </t>
  </si>
  <si>
    <t> 0.0164 </t>
  </si>
  <si>
    <t>E </t>
  </si>
  <si>
    <t>?</t>
  </si>
  <si>
    <t> S.Dvorak </t>
  </si>
  <si>
    <t>IBVS 5378 </t>
  </si>
  <si>
    <t>2453544.4447 </t>
  </si>
  <si>
    <t> 22.06.2005 22:40 </t>
  </si>
  <si>
    <t> 0.0253 </t>
  </si>
  <si>
    <t>-I</t>
  </si>
  <si>
    <t> Agerer </t>
  </si>
  <si>
    <t>BAVM 178 </t>
  </si>
  <si>
    <t>2453614.5149 </t>
  </si>
  <si>
    <t> 01.09.2005 00:21 </t>
  </si>
  <si>
    <t>24062</t>
  </si>
  <si>
    <t> -0.3591 </t>
  </si>
  <si>
    <t>2453899.4278 </t>
  </si>
  <si>
    <t> 12.06.2006 22:16 </t>
  </si>
  <si>
    <t>24430</t>
  </si>
  <si>
    <t> -0.3618 </t>
  </si>
  <si>
    <t>2454674.4311 </t>
  </si>
  <si>
    <t> 26.07.2008 22:20 </t>
  </si>
  <si>
    <t>25431</t>
  </si>
  <si>
    <t> -0.3598 </t>
  </si>
  <si>
    <t>R</t>
  </si>
  <si>
    <t> R.Ehrenberger </t>
  </si>
  <si>
    <t>OEJV 0094 </t>
  </si>
  <si>
    <t>2454712.3695 </t>
  </si>
  <si>
    <t> 02.09.2008 20:52 </t>
  </si>
  <si>
    <t>25480</t>
  </si>
  <si>
    <t> -0.3585 </t>
  </si>
  <si>
    <t>2454719.3355 </t>
  </si>
  <si>
    <t> 09.09.2008 20:03 </t>
  </si>
  <si>
    <t>25489</t>
  </si>
  <si>
    <t> -0.3605 </t>
  </si>
  <si>
    <t>2455797.4504 </t>
  </si>
  <si>
    <t> 23.08.2011 22:48 </t>
  </si>
  <si>
    <t>26881.5</t>
  </si>
  <si>
    <t> -0.3568 </t>
  </si>
  <si>
    <t> F.Agerer </t>
  </si>
  <si>
    <t>BAVM 225 </t>
  </si>
  <si>
    <t>2455835.3885 </t>
  </si>
  <si>
    <t> 30.09.2011 21:19 </t>
  </si>
  <si>
    <t>26930.5</t>
  </si>
  <si>
    <t> -0.3558 </t>
  </si>
  <si>
    <t>o</t>
  </si>
  <si>
    <t> P.Frank </t>
  </si>
  <si>
    <t>Vis</t>
  </si>
  <si>
    <t>PE?</t>
  </si>
  <si>
    <t xml:space="preserve">Mag </t>
  </si>
  <si>
    <t>Next ToM-P</t>
  </si>
  <si>
    <t>Next ToM-S</t>
  </si>
  <si>
    <t>11.6-12.2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</si>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</sst>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vertical="center"/>
    </xf>
    <xf numFmtId="22" fontId="23" fillId="0" borderId="14" xfId="0" applyNumberFormat="1" applyFont="1" applyBorder="1" applyAlignment="1">
      <alignment horizontal="right" vertical="center"/>
    </xf>
    <xf numFmtId="22" fontId="24" fillId="0" borderId="15" xfId="0" applyNumberFormat="1" applyFont="1" applyBorder="1" applyAlignment="1">
      <alignment vertical="center"/>
    </xf>
    <xf numFmtId="22" fontId="24" fillId="0" borderId="16" xfId="0" applyNumberFormat="1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Vul - O-C Diagr.</a:t>
            </a:r>
          </a:p>
        </c:rich>
      </c:tx>
      <c:layout>
        <c:manualLayout>
          <c:xMode val="edge"/>
          <c:yMode val="edge"/>
          <c:x val="0.379644927259698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69252958613219"/>
          <c:w val="0.8190636509425255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8C-4C74-B3EA-E4346B693B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1.3604799994936911E-2</c:v>
                </c:pt>
                <c:pt idx="1">
                  <c:v>-1.7735760004143231E-2</c:v>
                </c:pt>
                <c:pt idx="2">
                  <c:v>-1.7909200003487058E-2</c:v>
                </c:pt>
                <c:pt idx="3">
                  <c:v>2.5231999970856123E-3</c:v>
                </c:pt>
                <c:pt idx="4">
                  <c:v>1.580751999426866E-2</c:v>
                </c:pt>
                <c:pt idx="5">
                  <c:v>-1.1760080000385642E-2</c:v>
                </c:pt>
                <c:pt idx="6">
                  <c:v>-1.7274080004426651E-2</c:v>
                </c:pt>
                <c:pt idx="7">
                  <c:v>-5.4092799982754514E-3</c:v>
                </c:pt>
                <c:pt idx="8">
                  <c:v>7.0360799945774488E-3</c:v>
                </c:pt>
                <c:pt idx="9">
                  <c:v>-1.0455200026626699E-3</c:v>
                </c:pt>
                <c:pt idx="10">
                  <c:v>-1.8160240004363004E-2</c:v>
                </c:pt>
                <c:pt idx="11">
                  <c:v>-2.8246959998796228E-2</c:v>
                </c:pt>
                <c:pt idx="12">
                  <c:v>3.3611840000958182E-2</c:v>
                </c:pt>
                <c:pt idx="13">
                  <c:v>-2.7296319996821694E-2</c:v>
                </c:pt>
                <c:pt idx="14">
                  <c:v>2.0059999951627105E-3</c:v>
                </c:pt>
                <c:pt idx="15">
                  <c:v>1.566543999069836E-2</c:v>
                </c:pt>
                <c:pt idx="16">
                  <c:v>-3.0373600020539016E-3</c:v>
                </c:pt>
                <c:pt idx="17">
                  <c:v>2.2054479995858856E-2</c:v>
                </c:pt>
                <c:pt idx="18">
                  <c:v>-1.2875040003564209E-2</c:v>
                </c:pt>
                <c:pt idx="19">
                  <c:v>-7.8647999980603345E-3</c:v>
                </c:pt>
                <c:pt idx="20">
                  <c:v>-1.0000000038417056E-3</c:v>
                </c:pt>
                <c:pt idx="22">
                  <c:v>-8.2550400038599037E-3</c:v>
                </c:pt>
                <c:pt idx="23">
                  <c:v>-8.725679996132385E-3</c:v>
                </c:pt>
                <c:pt idx="24">
                  <c:v>3.4310160001041368E-2</c:v>
                </c:pt>
                <c:pt idx="25">
                  <c:v>1.8983759997354355E-2</c:v>
                </c:pt>
                <c:pt idx="26">
                  <c:v>2.7032240002881736E-2</c:v>
                </c:pt>
                <c:pt idx="27">
                  <c:v>-5.1794399987556972E-3</c:v>
                </c:pt>
                <c:pt idx="28">
                  <c:v>-2.574703999562189E-2</c:v>
                </c:pt>
                <c:pt idx="29">
                  <c:v>-7.0876000027055852E-3</c:v>
                </c:pt>
                <c:pt idx="30">
                  <c:v>-1.0866880002140533E-2</c:v>
                </c:pt>
                <c:pt idx="31">
                  <c:v>1.2527279999630991E-2</c:v>
                </c:pt>
                <c:pt idx="32">
                  <c:v>1.3909599947510287E-3</c:v>
                </c:pt>
                <c:pt idx="33">
                  <c:v>-3.572256000188645E-2</c:v>
                </c:pt>
                <c:pt idx="34">
                  <c:v>1.005040000018198E-2</c:v>
                </c:pt>
                <c:pt idx="35">
                  <c:v>1.4482799997495022E-2</c:v>
                </c:pt>
                <c:pt idx="36">
                  <c:v>4.0119999903254211E-4</c:v>
                </c:pt>
                <c:pt idx="37">
                  <c:v>-2.0874000001640525E-2</c:v>
                </c:pt>
                <c:pt idx="38">
                  <c:v>-0.75220528000500053</c:v>
                </c:pt>
                <c:pt idx="45">
                  <c:v>-0.98018695999780903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8C-4C74-B3EA-E4346B693B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-0.85617199999978766</c:v>
                </c:pt>
                <c:pt idx="40">
                  <c:v>-0.88921024000592297</c:v>
                </c:pt>
                <c:pt idx="41">
                  <c:v>-0.89231408000341617</c:v>
                </c:pt>
                <c:pt idx="42">
                  <c:v>-0.89228184000239708</c:v>
                </c:pt>
                <c:pt idx="43">
                  <c:v>-0.88493104000372114</c:v>
                </c:pt>
                <c:pt idx="44">
                  <c:v>-0.96897528000408784</c:v>
                </c:pt>
                <c:pt idx="46">
                  <c:v>-0.98537816000316525</c:v>
                </c:pt>
                <c:pt idx="47">
                  <c:v>-1.1355836800066754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8C-4C74-B3EA-E4346B693B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-1.1449516000066069</c:v>
                </c:pt>
                <c:pt idx="49">
                  <c:v>-1.1360163999997894</c:v>
                </c:pt>
                <c:pt idx="50">
                  <c:v>-1.1333635199989658</c:v>
                </c:pt>
                <c:pt idx="51">
                  <c:v>-1.1360142400008044</c:v>
                </c:pt>
                <c:pt idx="52">
                  <c:v>-1.0153289599984419</c:v>
                </c:pt>
                <c:pt idx="53">
                  <c:v>-1.1940471200068714</c:v>
                </c:pt>
                <c:pt idx="54">
                  <c:v>-1.3305147199935163</c:v>
                </c:pt>
                <c:pt idx="55">
                  <c:v>-1.1339612800002214</c:v>
                </c:pt>
                <c:pt idx="56">
                  <c:v>-1.1326662400024361</c:v>
                </c:pt>
                <c:pt idx="57">
                  <c:v>-1.1346896000031848</c:v>
                </c:pt>
                <c:pt idx="58">
                  <c:v>-1.1310028000007151</c:v>
                </c:pt>
                <c:pt idx="59">
                  <c:v>-1.1300277600021218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8C-4C74-B3EA-E4346B693B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8C-4C74-B3EA-E4346B693B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8C-4C74-B3EA-E4346B693B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1">
                    <c:v>0</c:v>
                  </c:pt>
                  <c:pt idx="39">
                    <c:v>8.0000000000000002E-3</c:v>
                  </c:pt>
                  <c:pt idx="40">
                    <c:v>7.0000000000000001E-3</c:v>
                  </c:pt>
                  <c:pt idx="41">
                    <c:v>8.9999999999999993E-3</c:v>
                  </c:pt>
                  <c:pt idx="42">
                    <c:v>8.0000000000000002E-3</c:v>
                  </c:pt>
                  <c:pt idx="43">
                    <c:v>8.0000000000000002E-3</c:v>
                  </c:pt>
                  <c:pt idx="44">
                    <c:v>7.0000000000000001E-3</c:v>
                  </c:pt>
                  <c:pt idx="46">
                    <c:v>3.0000000000000001E-3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6.9999999999999999E-4</c:v>
                  </c:pt>
                  <c:pt idx="50">
                    <c:v>2.7000000000000001E-3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1E-4</c:v>
                  </c:pt>
                  <c:pt idx="54">
                    <c:v>5.0000000000000001E-4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8C-4C74-B3EA-E4346B693B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-2870</c:v>
                </c:pt>
                <c:pt idx="1">
                  <c:v>-2868.5</c:v>
                </c:pt>
                <c:pt idx="2">
                  <c:v>-2832.5</c:v>
                </c:pt>
                <c:pt idx="3">
                  <c:v>-2830</c:v>
                </c:pt>
                <c:pt idx="4">
                  <c:v>-1413</c:v>
                </c:pt>
                <c:pt idx="5">
                  <c:v>-1410.5</c:v>
                </c:pt>
                <c:pt idx="6">
                  <c:v>-1373</c:v>
                </c:pt>
                <c:pt idx="7">
                  <c:v>-1368</c:v>
                </c:pt>
                <c:pt idx="8">
                  <c:v>-1114.5</c:v>
                </c:pt>
                <c:pt idx="9">
                  <c:v>-1074.5</c:v>
                </c:pt>
                <c:pt idx="10">
                  <c:v>-981.5</c:v>
                </c:pt>
                <c:pt idx="11">
                  <c:v>-963.5</c:v>
                </c:pt>
                <c:pt idx="12">
                  <c:v>-496</c:v>
                </c:pt>
                <c:pt idx="13">
                  <c:v>-492</c:v>
                </c:pt>
                <c:pt idx="14">
                  <c:v>-462.5</c:v>
                </c:pt>
                <c:pt idx="15">
                  <c:v>-461</c:v>
                </c:pt>
                <c:pt idx="16">
                  <c:v>-453.5</c:v>
                </c:pt>
                <c:pt idx="17">
                  <c:v>-449.5</c:v>
                </c:pt>
                <c:pt idx="18">
                  <c:v>-49</c:v>
                </c:pt>
                <c:pt idx="19">
                  <c:v>-5</c:v>
                </c:pt>
                <c:pt idx="20">
                  <c:v>0</c:v>
                </c:pt>
                <c:pt idx="21">
                  <c:v>0</c:v>
                </c:pt>
                <c:pt idx="22">
                  <c:v>76</c:v>
                </c:pt>
                <c:pt idx="23">
                  <c:v>104.5</c:v>
                </c:pt>
                <c:pt idx="24">
                  <c:v>258.5</c:v>
                </c:pt>
                <c:pt idx="25">
                  <c:v>418.5</c:v>
                </c:pt>
                <c:pt idx="26">
                  <c:v>431.5</c:v>
                </c:pt>
                <c:pt idx="27">
                  <c:v>498.5</c:v>
                </c:pt>
                <c:pt idx="28">
                  <c:v>501</c:v>
                </c:pt>
                <c:pt idx="29">
                  <c:v>502.5</c:v>
                </c:pt>
                <c:pt idx="30">
                  <c:v>572</c:v>
                </c:pt>
                <c:pt idx="31">
                  <c:v>605.5</c:v>
                </c:pt>
                <c:pt idx="32">
                  <c:v>2363.5</c:v>
                </c:pt>
                <c:pt idx="33">
                  <c:v>2364</c:v>
                </c:pt>
                <c:pt idx="34">
                  <c:v>2365</c:v>
                </c:pt>
                <c:pt idx="35">
                  <c:v>2367.5</c:v>
                </c:pt>
                <c:pt idx="36">
                  <c:v>2407.5</c:v>
                </c:pt>
                <c:pt idx="37">
                  <c:v>2787.5</c:v>
                </c:pt>
                <c:pt idx="38">
                  <c:v>14157</c:v>
                </c:pt>
                <c:pt idx="39">
                  <c:v>17425</c:v>
                </c:pt>
                <c:pt idx="40">
                  <c:v>17456</c:v>
                </c:pt>
                <c:pt idx="41">
                  <c:v>18377</c:v>
                </c:pt>
                <c:pt idx="42">
                  <c:v>18808.5</c:v>
                </c:pt>
                <c:pt idx="43">
                  <c:v>18851</c:v>
                </c:pt>
                <c:pt idx="44">
                  <c:v>19344.5</c:v>
                </c:pt>
                <c:pt idx="45">
                  <c:v>19411.5</c:v>
                </c:pt>
                <c:pt idx="46">
                  <c:v>19566.5</c:v>
                </c:pt>
                <c:pt idx="47">
                  <c:v>21242</c:v>
                </c:pt>
                <c:pt idx="48">
                  <c:v>22727.5</c:v>
                </c:pt>
                <c:pt idx="49">
                  <c:v>23972.5</c:v>
                </c:pt>
                <c:pt idx="50">
                  <c:v>24063</c:v>
                </c:pt>
                <c:pt idx="51">
                  <c:v>24431</c:v>
                </c:pt>
                <c:pt idx="52">
                  <c:v>24836.5</c:v>
                </c:pt>
                <c:pt idx="53">
                  <c:v>24840.5</c:v>
                </c:pt>
                <c:pt idx="54">
                  <c:v>25218</c:v>
                </c:pt>
                <c:pt idx="55">
                  <c:v>25432</c:v>
                </c:pt>
                <c:pt idx="56">
                  <c:v>25481</c:v>
                </c:pt>
                <c:pt idx="57">
                  <c:v>25490</c:v>
                </c:pt>
                <c:pt idx="58">
                  <c:v>26882.5</c:v>
                </c:pt>
                <c:pt idx="59">
                  <c:v>26931.5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0.11875696892366222</c:v>
                </c:pt>
                <c:pt idx="1">
                  <c:v>0.11868776675178616</c:v>
                </c:pt>
                <c:pt idx="2">
                  <c:v>0.11702691462676054</c:v>
                </c:pt>
                <c:pt idx="3">
                  <c:v>0.11691157767363378</c:v>
                </c:pt>
                <c:pt idx="4">
                  <c:v>5.1538592641375586E-2</c:v>
                </c:pt>
                <c:pt idx="5">
                  <c:v>5.1423255688248806E-2</c:v>
                </c:pt>
                <c:pt idx="6">
                  <c:v>4.9693201391347128E-2</c:v>
                </c:pt>
                <c:pt idx="7">
                  <c:v>4.9462527485093569E-2</c:v>
                </c:pt>
                <c:pt idx="8">
                  <c:v>3.7767360438038203E-2</c:v>
                </c:pt>
                <c:pt idx="9">
                  <c:v>3.5921969188009745E-2</c:v>
                </c:pt>
                <c:pt idx="10">
                  <c:v>3.1631434531693578E-2</c:v>
                </c:pt>
                <c:pt idx="11">
                  <c:v>3.0801008469180768E-2</c:v>
                </c:pt>
                <c:pt idx="12">
                  <c:v>9.2329982344731484E-3</c:v>
                </c:pt>
                <c:pt idx="13">
                  <c:v>9.0484591094703026E-3</c:v>
                </c:pt>
                <c:pt idx="14">
                  <c:v>7.6874830625743122E-3</c:v>
                </c:pt>
                <c:pt idx="15">
                  <c:v>7.6182808906982459E-3</c:v>
                </c:pt>
                <c:pt idx="16">
                  <c:v>7.2722700313179109E-3</c:v>
                </c:pt>
                <c:pt idx="17">
                  <c:v>7.0877309063150651E-3</c:v>
                </c:pt>
                <c:pt idx="18">
                  <c:v>-1.1389248984594889E-2</c:v>
                </c:pt>
                <c:pt idx="19">
                  <c:v>-1.3419179359626195E-2</c:v>
                </c:pt>
                <c:pt idx="20">
                  <c:v>-1.3649853265879752E-2</c:v>
                </c:pt>
                <c:pt idx="21">
                  <c:v>-1.3649853265879752E-2</c:v>
                </c:pt>
                <c:pt idx="22">
                  <c:v>-1.7156096640933826E-2</c:v>
                </c:pt>
                <c:pt idx="23">
                  <c:v>-1.8470937906579103E-2</c:v>
                </c:pt>
                <c:pt idx="24">
                  <c:v>-2.5575694219188674E-2</c:v>
                </c:pt>
                <c:pt idx="25">
                  <c:v>-3.2957259219302509E-2</c:v>
                </c:pt>
                <c:pt idx="26">
                  <c:v>-3.355701137556176E-2</c:v>
                </c:pt>
                <c:pt idx="27">
                  <c:v>-3.6648041719359432E-2</c:v>
                </c:pt>
                <c:pt idx="28">
                  <c:v>-3.6763378672486205E-2</c:v>
                </c:pt>
                <c:pt idx="29">
                  <c:v>-3.6832580844362278E-2</c:v>
                </c:pt>
                <c:pt idx="30">
                  <c:v>-4.0038948141286723E-2</c:v>
                </c:pt>
                <c:pt idx="31">
                  <c:v>-4.1584463313185563E-2</c:v>
                </c:pt>
                <c:pt idx="32">
                  <c:v>-0.12268940875193636</c:v>
                </c:pt>
                <c:pt idx="33">
                  <c:v>-0.12271247614256171</c:v>
                </c:pt>
                <c:pt idx="34">
                  <c:v>-0.12275861092381243</c:v>
                </c:pt>
                <c:pt idx="35">
                  <c:v>-0.12287394787693921</c:v>
                </c:pt>
                <c:pt idx="36">
                  <c:v>-0.12471933912696767</c:v>
                </c:pt>
                <c:pt idx="37">
                  <c:v>-0.14225055600223804</c:v>
                </c:pt>
                <c:pt idx="38">
                  <c:v>-0.66677995143220237</c:v>
                </c:pt>
                <c:pt idx="39">
                  <c:v>-0.81754841655952748</c:v>
                </c:pt>
                <c:pt idx="40">
                  <c:v>-0.8189785947782996</c:v>
                </c:pt>
                <c:pt idx="41">
                  <c:v>-0.86146872831020482</c:v>
                </c:pt>
                <c:pt idx="42">
                  <c:v>-0.88137588641988684</c:v>
                </c:pt>
                <c:pt idx="43">
                  <c:v>-0.88333661462304214</c:v>
                </c:pt>
                <c:pt idx="44">
                  <c:v>-0.90610412917026817</c:v>
                </c:pt>
                <c:pt idx="45">
                  <c:v>-0.90919515951406593</c:v>
                </c:pt>
                <c:pt idx="46">
                  <c:v>-0.91634605060792618</c:v>
                </c:pt>
                <c:pt idx="47">
                  <c:v>-0.99364487659349321</c:v>
                </c:pt>
                <c:pt idx="48">
                  <c:v>-1.0621780941414252</c:v>
                </c:pt>
                <c:pt idx="49">
                  <c:v>-1.119615896798561</c:v>
                </c:pt>
                <c:pt idx="50">
                  <c:v>-1.1237910945017504</c:v>
                </c:pt>
                <c:pt idx="51">
                  <c:v>-1.1407686940020123</c:v>
                </c:pt>
                <c:pt idx="52">
                  <c:v>-1.1594763477991756</c:v>
                </c:pt>
                <c:pt idx="53">
                  <c:v>-1.1596608869241785</c:v>
                </c:pt>
                <c:pt idx="54">
                  <c:v>-1.1770767668463222</c:v>
                </c:pt>
                <c:pt idx="55">
                  <c:v>-1.1869496100339745</c:v>
                </c:pt>
                <c:pt idx="56">
                  <c:v>-1.1892102143152592</c:v>
                </c:pt>
                <c:pt idx="57">
                  <c:v>-1.1896254273465157</c:v>
                </c:pt>
                <c:pt idx="58">
                  <c:v>-1.2538681102381315</c:v>
                </c:pt>
                <c:pt idx="59">
                  <c:v>-1.2561287145194162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8C-4C74-B3EA-E4346B69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1816"/>
        <c:axId val="1"/>
      </c:scatterChart>
      <c:valAx>
        <c:axId val="74669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00129214617399"/>
          <c:w val="0.746365613829773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Vul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6-4596-8F21-D3AB86FD731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1">
                  <c:v>6.770239444449544E-3</c:v>
                </c:pt>
                <c:pt idx="2">
                  <c:v>-2.4732780504564289E-2</c:v>
                </c:pt>
                <c:pt idx="3">
                  <c:v>1.7774272033420857E-2</c:v>
                </c:pt>
                <c:pt idx="4">
                  <c:v>3.9175784710096195E-2</c:v>
                </c:pt>
                <c:pt idx="5">
                  <c:v>4.8631321878929157E-2</c:v>
                </c:pt>
                <c:pt idx="6">
                  <c:v>-1.0973205338814296E-2</c:v>
                </c:pt>
                <c:pt idx="7">
                  <c:v>-1.6381928828195669E-2</c:v>
                </c:pt>
                <c:pt idx="8">
                  <c:v>-1.9412446657952387E-2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6-4596-8F21-D3AB86FD731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D6-4596-8F21-D3AB86FD731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D6-4596-8F21-D3AB86FD731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D6-4596-8F21-D3AB86FD731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D6-4596-8F21-D3AB86FD731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8.9999999999999993E-3</c:v>
                  </c:pt>
                  <c:pt idx="4">
                    <c:v>8.0000000000000002E-3</c:v>
                  </c:pt>
                  <c:pt idx="5">
                    <c:v>8.0000000000000002E-3</c:v>
                  </c:pt>
                  <c:pt idx="6">
                    <c:v>7.0000000000000001E-3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D6-4596-8F21-D3AB86FD731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17425</c:v>
                </c:pt>
                <c:pt idx="2">
                  <c:v>17456</c:v>
                </c:pt>
                <c:pt idx="3">
                  <c:v>18377</c:v>
                </c:pt>
                <c:pt idx="4">
                  <c:v>18808.5</c:v>
                </c:pt>
                <c:pt idx="5">
                  <c:v>18851</c:v>
                </c:pt>
                <c:pt idx="6">
                  <c:v>19344.5</c:v>
                </c:pt>
                <c:pt idx="7">
                  <c:v>19566.5</c:v>
                </c:pt>
                <c:pt idx="8">
                  <c:v>22727.5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4.539028523021728E-3</c:v>
                </c:pt>
                <c:pt idx="1">
                  <c:v>4.5390285264681621E-3</c:v>
                </c:pt>
                <c:pt idx="2">
                  <c:v>4.5390285264742935E-3</c:v>
                </c:pt>
                <c:pt idx="3">
                  <c:v>4.5390285266564551E-3</c:v>
                </c:pt>
                <c:pt idx="4">
                  <c:v>4.5390285267418009E-3</c:v>
                </c:pt>
                <c:pt idx="5">
                  <c:v>4.5390285267502065E-3</c:v>
                </c:pt>
                <c:pt idx="6">
                  <c:v>4.5390285268478141E-3</c:v>
                </c:pt>
                <c:pt idx="7">
                  <c:v>4.5390285268917226E-3</c:v>
                </c:pt>
                <c:pt idx="8">
                  <c:v>4.5390285275169265E-3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D6-4596-8F21-D3AB86FD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5776"/>
        <c:axId val="1"/>
      </c:scatterChart>
      <c:valAx>
        <c:axId val="74669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18</xdr:col>
      <xdr:colOff>209550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4B075F-C47A-F8DB-449D-B10CE7575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2447952-5B8A-14B1-452D-F50E6F68B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378" TargetMode="External"/><Relationship Id="rId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6006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09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9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1" customFormat="1" ht="20.25" x14ac:dyDescent="0.2">
      <c r="A1" s="64" t="s">
        <v>42</v>
      </c>
    </row>
    <row r="2" spans="1:7" s="41" customFormat="1" ht="12.95" customHeight="1" x14ac:dyDescent="0.2">
      <c r="A2" s="41" t="s">
        <v>26</v>
      </c>
      <c r="B2" s="41" t="s">
        <v>33</v>
      </c>
    </row>
    <row r="3" spans="1:7" s="41" customFormat="1" ht="12.95" customHeight="1" thickBot="1" x14ac:dyDescent="0.25">
      <c r="A3" s="41" t="s">
        <v>32</v>
      </c>
    </row>
    <row r="4" spans="1:7" s="41" customFormat="1" ht="12.95" customHeight="1" thickTop="1" thickBot="1" x14ac:dyDescent="0.25">
      <c r="A4" s="42" t="s">
        <v>0</v>
      </c>
      <c r="C4" s="43">
        <v>34985.423000000003</v>
      </c>
      <c r="D4" s="44">
        <v>0.77422703999999998</v>
      </c>
    </row>
    <row r="5" spans="1:7" s="41" customFormat="1" ht="12.95" customHeight="1" x14ac:dyDescent="0.2"/>
    <row r="6" spans="1:7" s="41" customFormat="1" ht="12.95" customHeight="1" x14ac:dyDescent="0.2">
      <c r="A6" s="42" t="s">
        <v>1</v>
      </c>
    </row>
    <row r="7" spans="1:7" s="41" customFormat="1" ht="12.95" customHeight="1" x14ac:dyDescent="0.2">
      <c r="A7" s="41" t="s">
        <v>2</v>
      </c>
      <c r="C7" s="41">
        <f>+C4</f>
        <v>34985.423000000003</v>
      </c>
      <c r="D7" s="73" t="s">
        <v>261</v>
      </c>
    </row>
    <row r="8" spans="1:7" s="41" customFormat="1" ht="12.95" customHeight="1" x14ac:dyDescent="0.2">
      <c r="A8" s="41" t="s">
        <v>3</v>
      </c>
      <c r="C8" s="41">
        <f>+D4</f>
        <v>0.77422703999999998</v>
      </c>
      <c r="D8" s="73" t="s">
        <v>261</v>
      </c>
    </row>
    <row r="9" spans="1:7" s="41" customFormat="1" ht="12.95" customHeight="1" x14ac:dyDescent="0.2">
      <c r="A9" s="45" t="s">
        <v>44</v>
      </c>
      <c r="C9" s="46">
        <v>-9.5</v>
      </c>
      <c r="D9" s="41" t="s">
        <v>45</v>
      </c>
    </row>
    <row r="10" spans="1:7" s="41" customFormat="1" ht="12.95" customHeight="1" thickBot="1" x14ac:dyDescent="0.25">
      <c r="C10" s="47" t="s">
        <v>21</v>
      </c>
      <c r="D10" s="47" t="s">
        <v>22</v>
      </c>
    </row>
    <row r="11" spans="1:7" s="41" customFormat="1" ht="12.95" customHeight="1" x14ac:dyDescent="0.2">
      <c r="A11" s="41" t="s">
        <v>16</v>
      </c>
      <c r="C11" s="48">
        <f ca="1">INTERCEPT(INDIRECT($G$11):G989,INDIRECT($F$11):F989)</f>
        <v>-1.3649853265879752E-2</v>
      </c>
      <c r="D11" s="49"/>
      <c r="F11" s="50" t="str">
        <f>"F"&amp;E19</f>
        <v>F22</v>
      </c>
      <c r="G11" s="48" t="str">
        <f>"G"&amp;E19</f>
        <v>G22</v>
      </c>
    </row>
    <row r="12" spans="1:7" s="41" customFormat="1" ht="12.95" customHeight="1" x14ac:dyDescent="0.2">
      <c r="A12" s="41" t="s">
        <v>17</v>
      </c>
      <c r="C12" s="48">
        <f ca="1">SLOPE(INDIRECT($G$11):G989,INDIRECT($F$11):F989)</f>
        <v>-4.6134781250711492E-5</v>
      </c>
      <c r="D12" s="49"/>
      <c r="E12" s="65" t="s">
        <v>257</v>
      </c>
      <c r="F12" s="66" t="s">
        <v>260</v>
      </c>
    </row>
    <row r="13" spans="1:7" s="41" customFormat="1" ht="12.95" customHeight="1" x14ac:dyDescent="0.2">
      <c r="A13" s="41" t="s">
        <v>20</v>
      </c>
      <c r="C13" s="49" t="s">
        <v>14</v>
      </c>
      <c r="D13" s="51"/>
      <c r="E13" s="67" t="s">
        <v>51</v>
      </c>
      <c r="F13" s="74">
        <v>1</v>
      </c>
    </row>
    <row r="14" spans="1:7" s="41" customFormat="1" ht="12.95" customHeight="1" x14ac:dyDescent="0.2">
      <c r="D14" s="51"/>
      <c r="E14" s="67" t="s">
        <v>46</v>
      </c>
      <c r="F14" s="68">
        <f ca="1">NOW()+15018.5+$C$9/24</f>
        <v>60520.728595486107</v>
      </c>
    </row>
    <row r="15" spans="1:7" s="41" customFormat="1" ht="12.95" customHeight="1" x14ac:dyDescent="0.2">
      <c r="A15" s="52" t="s">
        <v>18</v>
      </c>
      <c r="C15" s="53">
        <f ca="1">(C7+C11)+(C8+C12)*INT(MAX(F21:F3530))</f>
        <v>55834.875308592877</v>
      </c>
      <c r="D15" s="51"/>
      <c r="E15" s="67" t="s">
        <v>52</v>
      </c>
      <c r="F15" s="68">
        <f ca="1">ROUND(2*($F$14-$C$7)/$C$8,0)/2+$F$13</f>
        <v>32982.5</v>
      </c>
    </row>
    <row r="16" spans="1:7" s="41" customFormat="1" ht="12.95" customHeight="1" x14ac:dyDescent="0.2">
      <c r="A16" s="42" t="s">
        <v>4</v>
      </c>
      <c r="C16" s="54">
        <f ca="1">+C8+C12</f>
        <v>0.77418090521874927</v>
      </c>
      <c r="D16" s="51"/>
      <c r="E16" s="67" t="s">
        <v>47</v>
      </c>
      <c r="F16" s="68">
        <f ca="1">ROUND(2*($F$14-$C$15)/$C$16,0)/2+$F$13</f>
        <v>6053.5</v>
      </c>
    </row>
    <row r="17" spans="1:17" s="41" customFormat="1" ht="12.95" customHeight="1" thickBot="1" x14ac:dyDescent="0.25">
      <c r="A17" s="51" t="s">
        <v>41</v>
      </c>
      <c r="C17" s="41">
        <f>COUNT(C21:C2188)</f>
        <v>60</v>
      </c>
      <c r="D17" s="51"/>
      <c r="E17" s="69" t="s">
        <v>258</v>
      </c>
      <c r="F17" s="70">
        <f ca="1">+$C$15+$C$16*$F$16-15018.5-$C$9/24</f>
        <v>45503.27525166791</v>
      </c>
    </row>
    <row r="18" spans="1:17" s="41" customFormat="1" ht="12.95" customHeight="1" x14ac:dyDescent="0.2">
      <c r="A18" s="42" t="s">
        <v>5</v>
      </c>
      <c r="C18" s="43">
        <f ca="1">+C15</f>
        <v>55834.875308592877</v>
      </c>
      <c r="D18" s="44">
        <f ca="1">+C16</f>
        <v>0.77418090521874927</v>
      </c>
      <c r="E18" s="72" t="s">
        <v>259</v>
      </c>
      <c r="F18" s="71">
        <f ca="1">+($C$15+$C$16*$F$16)-($C$16/2)-15018.5-$C$9/24</f>
        <v>45502.888161215298</v>
      </c>
    </row>
    <row r="19" spans="1:17" s="41" customFormat="1" ht="12.95" customHeight="1" thickTop="1" x14ac:dyDescent="0.2">
      <c r="A19" s="55" t="s">
        <v>48</v>
      </c>
      <c r="E19" s="56">
        <v>22</v>
      </c>
    </row>
    <row r="20" spans="1:17" s="41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57" t="s">
        <v>12</v>
      </c>
      <c r="I20" s="57" t="s">
        <v>255</v>
      </c>
      <c r="J20" s="57" t="s">
        <v>256</v>
      </c>
      <c r="K20" s="57" t="s">
        <v>56</v>
      </c>
      <c r="L20" s="57" t="s">
        <v>28</v>
      </c>
      <c r="M20" s="57" t="s">
        <v>29</v>
      </c>
      <c r="N20" s="57" t="s">
        <v>30</v>
      </c>
      <c r="O20" s="57" t="s">
        <v>24</v>
      </c>
      <c r="P20" s="58" t="s">
        <v>23</v>
      </c>
      <c r="Q20" s="47" t="s">
        <v>15</v>
      </c>
    </row>
    <row r="21" spans="1:17" s="41" customFormat="1" ht="12.95" customHeight="1" x14ac:dyDescent="0.2">
      <c r="A21" s="59" t="s">
        <v>71</v>
      </c>
      <c r="B21" s="60" t="s">
        <v>38</v>
      </c>
      <c r="C21" s="61">
        <v>32763.404999999999</v>
      </c>
      <c r="D21" s="62"/>
      <c r="E21" s="41">
        <f t="shared" ref="E21:E52" si="0">+(C21-C$7)/C$8</f>
        <v>-2869.9824278935075</v>
      </c>
      <c r="F21" s="41">
        <f t="shared" ref="F21:F58" si="1">ROUND(2*E21,0)/2</f>
        <v>-2870</v>
      </c>
      <c r="G21" s="41">
        <f t="shared" ref="G21:G52" si="2">+C21-(C$7+F21*C$8)</f>
        <v>1.3604799994936911E-2</v>
      </c>
      <c r="I21" s="41">
        <f t="shared" ref="I21:I41" si="3">G21</f>
        <v>1.3604799994936911E-2</v>
      </c>
      <c r="O21" s="41">
        <f t="shared" ref="O21:O52" ca="1" si="4">+C$11+C$12*$F21</f>
        <v>0.11875696892366222</v>
      </c>
      <c r="Q21" s="63">
        <f t="shared" ref="Q21:Q52" si="5">+C21-15018.5</f>
        <v>17744.904999999999</v>
      </c>
    </row>
    <row r="22" spans="1:17" s="41" customFormat="1" ht="12.95" customHeight="1" x14ac:dyDescent="0.2">
      <c r="A22" s="59" t="s">
        <v>71</v>
      </c>
      <c r="B22" s="60" t="s">
        <v>40</v>
      </c>
      <c r="C22" s="61">
        <v>32764.535</v>
      </c>
      <c r="D22" s="62"/>
      <c r="E22" s="41">
        <f t="shared" si="0"/>
        <v>-2868.5229076990163</v>
      </c>
      <c r="F22" s="41">
        <f t="shared" si="1"/>
        <v>-2868.5</v>
      </c>
      <c r="G22" s="41">
        <f t="shared" si="2"/>
        <v>-1.7735760004143231E-2</v>
      </c>
      <c r="I22" s="41">
        <f t="shared" si="3"/>
        <v>-1.7735760004143231E-2</v>
      </c>
      <c r="O22" s="41">
        <f t="shared" ca="1" si="4"/>
        <v>0.11868776675178616</v>
      </c>
      <c r="Q22" s="63">
        <f t="shared" si="5"/>
        <v>17746.035</v>
      </c>
    </row>
    <row r="23" spans="1:17" s="41" customFormat="1" ht="12.95" customHeight="1" x14ac:dyDescent="0.2">
      <c r="A23" s="59" t="s">
        <v>71</v>
      </c>
      <c r="B23" s="60" t="s">
        <v>40</v>
      </c>
      <c r="C23" s="61">
        <v>32792.406999999999</v>
      </c>
      <c r="D23" s="62"/>
      <c r="E23" s="41">
        <f t="shared" si="0"/>
        <v>-2832.5231317159928</v>
      </c>
      <c r="F23" s="41">
        <f t="shared" si="1"/>
        <v>-2832.5</v>
      </c>
      <c r="G23" s="41">
        <f t="shared" si="2"/>
        <v>-1.7909200003487058E-2</v>
      </c>
      <c r="I23" s="41">
        <f t="shared" si="3"/>
        <v>-1.7909200003487058E-2</v>
      </c>
      <c r="O23" s="41">
        <f t="shared" ca="1" si="4"/>
        <v>0.11702691462676054</v>
      </c>
      <c r="Q23" s="63">
        <f t="shared" si="5"/>
        <v>17773.906999999999</v>
      </c>
    </row>
    <row r="24" spans="1:17" s="41" customFormat="1" ht="12.95" customHeight="1" x14ac:dyDescent="0.2">
      <c r="A24" s="59" t="s">
        <v>71</v>
      </c>
      <c r="B24" s="60" t="s">
        <v>38</v>
      </c>
      <c r="C24" s="61">
        <v>32794.362999999998</v>
      </c>
      <c r="D24" s="62"/>
      <c r="E24" s="41">
        <f t="shared" si="0"/>
        <v>-2829.996741007657</v>
      </c>
      <c r="F24" s="41">
        <f t="shared" si="1"/>
        <v>-2830</v>
      </c>
      <c r="G24" s="41">
        <f t="shared" si="2"/>
        <v>2.5231999970856123E-3</v>
      </c>
      <c r="I24" s="41">
        <f t="shared" si="3"/>
        <v>2.5231999970856123E-3</v>
      </c>
      <c r="O24" s="41">
        <f t="shared" ca="1" si="4"/>
        <v>0.11691157767363378</v>
      </c>
      <c r="Q24" s="63">
        <f t="shared" si="5"/>
        <v>17775.862999999998</v>
      </c>
    </row>
    <row r="25" spans="1:17" s="41" customFormat="1" ht="12.95" customHeight="1" x14ac:dyDescent="0.2">
      <c r="A25" s="59" t="s">
        <v>71</v>
      </c>
      <c r="B25" s="60" t="s">
        <v>38</v>
      </c>
      <c r="C25" s="61">
        <v>33891.455999999998</v>
      </c>
      <c r="D25" s="62"/>
      <c r="E25" s="41">
        <f t="shared" si="0"/>
        <v>-1412.9795828365852</v>
      </c>
      <c r="F25" s="41">
        <f t="shared" si="1"/>
        <v>-1413</v>
      </c>
      <c r="G25" s="41">
        <f t="shared" si="2"/>
        <v>1.580751999426866E-2</v>
      </c>
      <c r="I25" s="41">
        <f t="shared" si="3"/>
        <v>1.580751999426866E-2</v>
      </c>
      <c r="O25" s="41">
        <f t="shared" ca="1" si="4"/>
        <v>5.1538592641375586E-2</v>
      </c>
      <c r="Q25" s="63">
        <f t="shared" si="5"/>
        <v>18872.955999999998</v>
      </c>
    </row>
    <row r="26" spans="1:17" s="41" customFormat="1" ht="12.95" customHeight="1" x14ac:dyDescent="0.2">
      <c r="A26" s="59" t="s">
        <v>71</v>
      </c>
      <c r="B26" s="60" t="s">
        <v>40</v>
      </c>
      <c r="C26" s="61">
        <v>33893.364000000001</v>
      </c>
      <c r="D26" s="62"/>
      <c r="E26" s="41">
        <f t="shared" si="0"/>
        <v>-1410.5151894462394</v>
      </c>
      <c r="F26" s="41">
        <f t="shared" si="1"/>
        <v>-1410.5</v>
      </c>
      <c r="G26" s="41">
        <f t="shared" si="2"/>
        <v>-1.1760080000385642E-2</v>
      </c>
      <c r="I26" s="41">
        <f t="shared" si="3"/>
        <v>-1.1760080000385642E-2</v>
      </c>
      <c r="O26" s="41">
        <f t="shared" ca="1" si="4"/>
        <v>5.1423255688248806E-2</v>
      </c>
      <c r="Q26" s="63">
        <f t="shared" si="5"/>
        <v>18874.864000000001</v>
      </c>
    </row>
    <row r="27" spans="1:17" s="41" customFormat="1" ht="12.95" customHeight="1" x14ac:dyDescent="0.2">
      <c r="A27" s="59" t="s">
        <v>71</v>
      </c>
      <c r="B27" s="60" t="s">
        <v>38</v>
      </c>
      <c r="C27" s="61">
        <v>33922.392</v>
      </c>
      <c r="D27" s="62"/>
      <c r="E27" s="41">
        <f t="shared" si="0"/>
        <v>-1373.0223113881461</v>
      </c>
      <c r="F27" s="41">
        <f t="shared" si="1"/>
        <v>-1373</v>
      </c>
      <c r="G27" s="41">
        <f t="shared" si="2"/>
        <v>-1.7274080004426651E-2</v>
      </c>
      <c r="I27" s="41">
        <f t="shared" si="3"/>
        <v>-1.7274080004426651E-2</v>
      </c>
      <c r="O27" s="41">
        <f t="shared" ca="1" si="4"/>
        <v>4.9693201391347128E-2</v>
      </c>
      <c r="Q27" s="63">
        <f t="shared" si="5"/>
        <v>18903.892</v>
      </c>
    </row>
    <row r="28" spans="1:17" s="41" customFormat="1" ht="12.95" customHeight="1" x14ac:dyDescent="0.2">
      <c r="A28" s="59" t="s">
        <v>71</v>
      </c>
      <c r="B28" s="60" t="s">
        <v>38</v>
      </c>
      <c r="C28" s="61">
        <v>33926.275000000001</v>
      </c>
      <c r="D28" s="62"/>
      <c r="E28" s="41">
        <f t="shared" si="0"/>
        <v>-1368.0069866844242</v>
      </c>
      <c r="F28" s="41">
        <f t="shared" si="1"/>
        <v>-1368</v>
      </c>
      <c r="G28" s="41">
        <f t="shared" si="2"/>
        <v>-5.4092799982754514E-3</v>
      </c>
      <c r="I28" s="41">
        <f t="shared" si="3"/>
        <v>-5.4092799982754514E-3</v>
      </c>
      <c r="O28" s="41">
        <f t="shared" ca="1" si="4"/>
        <v>4.9462527485093569E-2</v>
      </c>
      <c r="Q28" s="63">
        <f t="shared" si="5"/>
        <v>18907.775000000001</v>
      </c>
    </row>
    <row r="29" spans="1:17" s="41" customFormat="1" ht="12.95" customHeight="1" x14ac:dyDescent="0.2">
      <c r="A29" s="59" t="s">
        <v>71</v>
      </c>
      <c r="B29" s="60" t="s">
        <v>40</v>
      </c>
      <c r="C29" s="61">
        <v>34122.553999999996</v>
      </c>
      <c r="D29" s="62"/>
      <c r="E29" s="41">
        <f t="shared" si="0"/>
        <v>-1114.4909121231494</v>
      </c>
      <c r="F29" s="41">
        <f t="shared" si="1"/>
        <v>-1114.5</v>
      </c>
      <c r="G29" s="41">
        <f t="shared" si="2"/>
        <v>7.0360799945774488E-3</v>
      </c>
      <c r="I29" s="41">
        <f t="shared" si="3"/>
        <v>7.0360799945774488E-3</v>
      </c>
      <c r="O29" s="41">
        <f t="shared" ca="1" si="4"/>
        <v>3.7767360438038203E-2</v>
      </c>
      <c r="Q29" s="63">
        <f t="shared" si="5"/>
        <v>19104.053999999996</v>
      </c>
    </row>
    <row r="30" spans="1:17" s="41" customFormat="1" ht="12.95" customHeight="1" x14ac:dyDescent="0.2">
      <c r="A30" s="59" t="s">
        <v>71</v>
      </c>
      <c r="B30" s="60" t="s">
        <v>40</v>
      </c>
      <c r="C30" s="61">
        <v>34153.514999999999</v>
      </c>
      <c r="D30" s="62"/>
      <c r="E30" s="41">
        <f t="shared" si="0"/>
        <v>-1074.5013504049189</v>
      </c>
      <c r="F30" s="41">
        <f t="shared" si="1"/>
        <v>-1074.5</v>
      </c>
      <c r="G30" s="41">
        <f t="shared" si="2"/>
        <v>-1.0455200026626699E-3</v>
      </c>
      <c r="I30" s="41">
        <f t="shared" si="3"/>
        <v>-1.0455200026626699E-3</v>
      </c>
      <c r="O30" s="41">
        <f t="shared" ca="1" si="4"/>
        <v>3.5921969188009745E-2</v>
      </c>
      <c r="Q30" s="63">
        <f t="shared" si="5"/>
        <v>19135.014999999999</v>
      </c>
    </row>
    <row r="31" spans="1:17" x14ac:dyDescent="0.2">
      <c r="A31" s="38" t="s">
        <v>71</v>
      </c>
      <c r="B31" s="40" t="s">
        <v>40</v>
      </c>
      <c r="C31" s="39">
        <v>34225.500999999997</v>
      </c>
      <c r="D31" s="19"/>
      <c r="E31">
        <f t="shared" si="0"/>
        <v>-981.52345596196949</v>
      </c>
      <c r="F31">
        <f t="shared" si="1"/>
        <v>-981.5</v>
      </c>
      <c r="G31">
        <f t="shared" si="2"/>
        <v>-1.8160240004363004E-2</v>
      </c>
      <c r="I31">
        <f t="shared" si="3"/>
        <v>-1.8160240004363004E-2</v>
      </c>
      <c r="O31">
        <f t="shared" ca="1" si="4"/>
        <v>3.1631434531693578E-2</v>
      </c>
      <c r="Q31" s="2">
        <f t="shared" si="5"/>
        <v>19207.000999999997</v>
      </c>
    </row>
    <row r="32" spans="1:17" x14ac:dyDescent="0.2">
      <c r="A32" s="38" t="s">
        <v>71</v>
      </c>
      <c r="B32" s="40" t="s">
        <v>40</v>
      </c>
      <c r="C32" s="39">
        <v>34239.427000000003</v>
      </c>
      <c r="D32" s="19"/>
      <c r="E32">
        <f t="shared" si="0"/>
        <v>-963.53648407836442</v>
      </c>
      <c r="F32">
        <f t="shared" si="1"/>
        <v>-963.5</v>
      </c>
      <c r="G32">
        <f t="shared" si="2"/>
        <v>-2.8246959998796228E-2</v>
      </c>
      <c r="I32">
        <f t="shared" si="3"/>
        <v>-2.8246959998796228E-2</v>
      </c>
      <c r="O32">
        <f t="shared" ca="1" si="4"/>
        <v>3.0801008469180768E-2</v>
      </c>
      <c r="Q32" s="2">
        <f t="shared" si="5"/>
        <v>19220.927000000003</v>
      </c>
    </row>
    <row r="33" spans="1:17" x14ac:dyDescent="0.2">
      <c r="A33" s="38" t="s">
        <v>71</v>
      </c>
      <c r="B33" s="40" t="s">
        <v>38</v>
      </c>
      <c r="C33" s="39">
        <v>34601.440000000002</v>
      </c>
      <c r="D33" s="19"/>
      <c r="E33">
        <f t="shared" si="0"/>
        <v>-495.95658658473127</v>
      </c>
      <c r="F33">
        <f t="shared" si="1"/>
        <v>-496</v>
      </c>
      <c r="G33">
        <f t="shared" si="2"/>
        <v>3.3611840000958182E-2</v>
      </c>
      <c r="I33">
        <f t="shared" si="3"/>
        <v>3.3611840000958182E-2</v>
      </c>
      <c r="O33">
        <f t="shared" ca="1" si="4"/>
        <v>9.2329982344731484E-3</v>
      </c>
      <c r="Q33" s="2">
        <f t="shared" si="5"/>
        <v>19582.940000000002</v>
      </c>
    </row>
    <row r="34" spans="1:17" x14ac:dyDescent="0.2">
      <c r="A34" s="38" t="s">
        <v>71</v>
      </c>
      <c r="B34" s="40" t="s">
        <v>38</v>
      </c>
      <c r="C34" s="39">
        <v>34604.476000000002</v>
      </c>
      <c r="D34" s="19"/>
      <c r="E34">
        <f t="shared" si="0"/>
        <v>-492.03525622148271</v>
      </c>
      <c r="F34">
        <f t="shared" si="1"/>
        <v>-492</v>
      </c>
      <c r="G34">
        <f t="shared" si="2"/>
        <v>-2.7296319996821694E-2</v>
      </c>
      <c r="I34">
        <f t="shared" si="3"/>
        <v>-2.7296319996821694E-2</v>
      </c>
      <c r="O34">
        <f t="shared" ca="1" si="4"/>
        <v>9.0484591094703026E-3</v>
      </c>
      <c r="Q34" s="2">
        <f t="shared" si="5"/>
        <v>19585.976000000002</v>
      </c>
    </row>
    <row r="35" spans="1:17" x14ac:dyDescent="0.2">
      <c r="A35" s="38" t="s">
        <v>71</v>
      </c>
      <c r="B35" s="40" t="s">
        <v>40</v>
      </c>
      <c r="C35" s="39">
        <v>34627.345000000001</v>
      </c>
      <c r="D35" s="19"/>
      <c r="E35">
        <f t="shared" si="0"/>
        <v>-462.49740902875385</v>
      </c>
      <c r="F35">
        <f t="shared" si="1"/>
        <v>-462.5</v>
      </c>
      <c r="G35">
        <f t="shared" si="2"/>
        <v>2.0059999951627105E-3</v>
      </c>
      <c r="I35">
        <f t="shared" si="3"/>
        <v>2.0059999951627105E-3</v>
      </c>
      <c r="O35">
        <f t="shared" ca="1" si="4"/>
        <v>7.6874830625743122E-3</v>
      </c>
      <c r="Q35" s="2">
        <f t="shared" si="5"/>
        <v>19608.845000000001</v>
      </c>
    </row>
    <row r="36" spans="1:17" x14ac:dyDescent="0.2">
      <c r="A36" s="38" t="s">
        <v>71</v>
      </c>
      <c r="B36" s="40" t="s">
        <v>38</v>
      </c>
      <c r="C36" s="39">
        <v>34628.519999999997</v>
      </c>
      <c r="D36" s="19"/>
      <c r="E36">
        <f t="shared" si="0"/>
        <v>-460.97976634864847</v>
      </c>
      <c r="F36">
        <f t="shared" si="1"/>
        <v>-461</v>
      </c>
      <c r="G36">
        <f t="shared" si="2"/>
        <v>1.566543999069836E-2</v>
      </c>
      <c r="I36">
        <f t="shared" si="3"/>
        <v>1.566543999069836E-2</v>
      </c>
      <c r="O36">
        <f t="shared" ca="1" si="4"/>
        <v>7.6182808906982459E-3</v>
      </c>
      <c r="Q36" s="2">
        <f t="shared" si="5"/>
        <v>19610.019999999997</v>
      </c>
    </row>
    <row r="37" spans="1:17" x14ac:dyDescent="0.2">
      <c r="A37" s="38" t="s">
        <v>71</v>
      </c>
      <c r="B37" s="40" t="s">
        <v>40</v>
      </c>
      <c r="C37" s="39">
        <v>34634.307999999997</v>
      </c>
      <c r="D37" s="19"/>
      <c r="E37">
        <f t="shared" si="0"/>
        <v>-453.5039230869607</v>
      </c>
      <c r="F37">
        <f t="shared" si="1"/>
        <v>-453.5</v>
      </c>
      <c r="G37">
        <f t="shared" si="2"/>
        <v>-3.0373600020539016E-3</v>
      </c>
      <c r="I37">
        <f t="shared" si="3"/>
        <v>-3.0373600020539016E-3</v>
      </c>
      <c r="O37">
        <f t="shared" ca="1" si="4"/>
        <v>7.2722700313179109E-3</v>
      </c>
      <c r="Q37" s="2">
        <f t="shared" si="5"/>
        <v>19615.807999999997</v>
      </c>
    </row>
    <row r="38" spans="1:17" x14ac:dyDescent="0.2">
      <c r="A38" s="38" t="s">
        <v>71</v>
      </c>
      <c r="B38" s="40" t="s">
        <v>40</v>
      </c>
      <c r="C38" s="39">
        <v>34637.43</v>
      </c>
      <c r="D38" s="19"/>
      <c r="E38">
        <f t="shared" si="0"/>
        <v>-449.4715141956321</v>
      </c>
      <c r="F38">
        <f t="shared" si="1"/>
        <v>-449.5</v>
      </c>
      <c r="G38">
        <f t="shared" si="2"/>
        <v>2.2054479995858856E-2</v>
      </c>
      <c r="I38">
        <f t="shared" si="3"/>
        <v>2.2054479995858856E-2</v>
      </c>
      <c r="O38">
        <f t="shared" ca="1" si="4"/>
        <v>7.0877309063150651E-3</v>
      </c>
      <c r="Q38" s="2">
        <f t="shared" si="5"/>
        <v>19618.93</v>
      </c>
    </row>
    <row r="39" spans="1:17" x14ac:dyDescent="0.2">
      <c r="A39" s="38" t="s">
        <v>71</v>
      </c>
      <c r="B39" s="40" t="s">
        <v>38</v>
      </c>
      <c r="C39" s="39">
        <v>34947.472999999998</v>
      </c>
      <c r="D39" s="19"/>
      <c r="E39">
        <f t="shared" si="0"/>
        <v>-49.01662954061171</v>
      </c>
      <c r="F39">
        <f t="shared" si="1"/>
        <v>-49</v>
      </c>
      <c r="G39">
        <f t="shared" si="2"/>
        <v>-1.2875040003564209E-2</v>
      </c>
      <c r="I39">
        <f t="shared" si="3"/>
        <v>-1.2875040003564209E-2</v>
      </c>
      <c r="O39">
        <f t="shared" ca="1" si="4"/>
        <v>-1.1389248984594889E-2</v>
      </c>
      <c r="Q39" s="2">
        <f t="shared" si="5"/>
        <v>19928.972999999998</v>
      </c>
    </row>
    <row r="40" spans="1:17" x14ac:dyDescent="0.2">
      <c r="A40" s="38" t="s">
        <v>71</v>
      </c>
      <c r="B40" s="40" t="s">
        <v>38</v>
      </c>
      <c r="C40" s="39">
        <v>34981.544000000002</v>
      </c>
      <c r="D40" s="19"/>
      <c r="E40">
        <f t="shared" si="0"/>
        <v>-5.010158260554701</v>
      </c>
      <c r="F40">
        <f t="shared" si="1"/>
        <v>-5</v>
      </c>
      <c r="G40">
        <f t="shared" si="2"/>
        <v>-7.8647999980603345E-3</v>
      </c>
      <c r="I40">
        <f t="shared" si="3"/>
        <v>-7.8647999980603345E-3</v>
      </c>
      <c r="O40">
        <f t="shared" ca="1" si="4"/>
        <v>-1.3419179359626195E-2</v>
      </c>
      <c r="Q40" s="2">
        <f t="shared" si="5"/>
        <v>19963.044000000002</v>
      </c>
    </row>
    <row r="41" spans="1:17" x14ac:dyDescent="0.2">
      <c r="A41" s="38" t="s">
        <v>71</v>
      </c>
      <c r="B41" s="40" t="s">
        <v>38</v>
      </c>
      <c r="C41" s="39">
        <v>34985.421999999999</v>
      </c>
      <c r="D41" s="19"/>
      <c r="E41">
        <f t="shared" si="0"/>
        <v>-1.2916107965458112E-3</v>
      </c>
      <c r="F41">
        <f t="shared" si="1"/>
        <v>0</v>
      </c>
      <c r="G41">
        <f t="shared" si="2"/>
        <v>-1.0000000038417056E-3</v>
      </c>
      <c r="I41">
        <f t="shared" si="3"/>
        <v>-1.0000000038417056E-3</v>
      </c>
      <c r="O41">
        <f t="shared" ca="1" si="4"/>
        <v>-1.3649853265879752E-2</v>
      </c>
      <c r="Q41" s="2">
        <f t="shared" si="5"/>
        <v>19966.921999999999</v>
      </c>
    </row>
    <row r="42" spans="1:17" x14ac:dyDescent="0.2">
      <c r="A42" t="s">
        <v>12</v>
      </c>
      <c r="C42" s="19">
        <f>+C7</f>
        <v>34985.423000000003</v>
      </c>
      <c r="D42" s="19" t="s">
        <v>14</v>
      </c>
      <c r="E42">
        <f t="shared" si="0"/>
        <v>0</v>
      </c>
      <c r="F42">
        <f t="shared" si="1"/>
        <v>0</v>
      </c>
      <c r="G42">
        <f t="shared" si="2"/>
        <v>0</v>
      </c>
      <c r="H42">
        <f t="shared" ref="H42" si="6">G42</f>
        <v>0</v>
      </c>
      <c r="O42">
        <f t="shared" ca="1" si="4"/>
        <v>-1.3649853265879752E-2</v>
      </c>
      <c r="Q42" s="2">
        <f t="shared" si="5"/>
        <v>19966.923000000003</v>
      </c>
    </row>
    <row r="43" spans="1:17" x14ac:dyDescent="0.2">
      <c r="A43" s="38" t="s">
        <v>71</v>
      </c>
      <c r="B43" s="40" t="s">
        <v>38</v>
      </c>
      <c r="C43" s="39">
        <v>35044.256000000001</v>
      </c>
      <c r="D43" s="19"/>
      <c r="E43">
        <f t="shared" si="0"/>
        <v>75.989337701249397</v>
      </c>
      <c r="F43">
        <f t="shared" si="1"/>
        <v>76</v>
      </c>
      <c r="G43">
        <f t="shared" si="2"/>
        <v>-8.2550400038599037E-3</v>
      </c>
      <c r="I43">
        <f t="shared" ref="I43:I59" si="7">G43</f>
        <v>-8.2550400038599037E-3</v>
      </c>
      <c r="O43">
        <f t="shared" ca="1" si="4"/>
        <v>-1.7156096640933826E-2</v>
      </c>
      <c r="Q43" s="2">
        <f t="shared" si="5"/>
        <v>20025.756000000001</v>
      </c>
    </row>
    <row r="44" spans="1:17" x14ac:dyDescent="0.2">
      <c r="A44" s="38" t="s">
        <v>71</v>
      </c>
      <c r="B44" s="40" t="s">
        <v>40</v>
      </c>
      <c r="C44" s="39">
        <v>35066.321000000004</v>
      </c>
      <c r="D44" s="19"/>
      <c r="E44">
        <f t="shared" si="0"/>
        <v>104.48872981754945</v>
      </c>
      <c r="F44">
        <f t="shared" si="1"/>
        <v>104.5</v>
      </c>
      <c r="G44">
        <f t="shared" si="2"/>
        <v>-8.725679996132385E-3</v>
      </c>
      <c r="I44">
        <f t="shared" si="7"/>
        <v>-8.725679996132385E-3</v>
      </c>
      <c r="O44">
        <f t="shared" ca="1" si="4"/>
        <v>-1.8470937906579103E-2</v>
      </c>
      <c r="Q44" s="2">
        <f t="shared" si="5"/>
        <v>20047.821000000004</v>
      </c>
    </row>
    <row r="45" spans="1:17" x14ac:dyDescent="0.2">
      <c r="A45" s="38" t="s">
        <v>71</v>
      </c>
      <c r="B45" s="40" t="s">
        <v>40</v>
      </c>
      <c r="C45" s="39">
        <v>35185.595000000001</v>
      </c>
      <c r="D45" s="19"/>
      <c r="E45">
        <f t="shared" si="0"/>
        <v>258.54431537291526</v>
      </c>
      <c r="F45">
        <f t="shared" si="1"/>
        <v>258.5</v>
      </c>
      <c r="G45">
        <f t="shared" si="2"/>
        <v>3.4310160001041368E-2</v>
      </c>
      <c r="I45">
        <f t="shared" si="7"/>
        <v>3.4310160001041368E-2</v>
      </c>
      <c r="O45">
        <f t="shared" ca="1" si="4"/>
        <v>-2.5575694219188674E-2</v>
      </c>
      <c r="Q45" s="2">
        <f t="shared" si="5"/>
        <v>20167.095000000001</v>
      </c>
    </row>
    <row r="46" spans="1:17" x14ac:dyDescent="0.2">
      <c r="A46" s="38" t="s">
        <v>71</v>
      </c>
      <c r="B46" s="40" t="s">
        <v>40</v>
      </c>
      <c r="C46" s="39">
        <v>35309.455999999998</v>
      </c>
      <c r="D46" s="19"/>
      <c r="E46">
        <f t="shared" si="0"/>
        <v>418.52451962927546</v>
      </c>
      <c r="F46">
        <f t="shared" si="1"/>
        <v>418.5</v>
      </c>
      <c r="G46">
        <f t="shared" si="2"/>
        <v>1.8983759997354355E-2</v>
      </c>
      <c r="I46">
        <f t="shared" si="7"/>
        <v>1.8983759997354355E-2</v>
      </c>
      <c r="O46">
        <f t="shared" ca="1" si="4"/>
        <v>-3.2957259219302509E-2</v>
      </c>
      <c r="Q46" s="2">
        <f t="shared" si="5"/>
        <v>20290.955999999998</v>
      </c>
    </row>
    <row r="47" spans="1:17" x14ac:dyDescent="0.2">
      <c r="A47" s="38" t="s">
        <v>71</v>
      </c>
      <c r="B47" s="40" t="s">
        <v>40</v>
      </c>
      <c r="C47" s="39">
        <v>35319.529000000002</v>
      </c>
      <c r="D47" s="19"/>
      <c r="E47">
        <f t="shared" si="0"/>
        <v>431.53491513290442</v>
      </c>
      <c r="F47">
        <f t="shared" si="1"/>
        <v>431.5</v>
      </c>
      <c r="G47">
        <f t="shared" si="2"/>
        <v>2.7032240002881736E-2</v>
      </c>
      <c r="I47">
        <f t="shared" si="7"/>
        <v>2.7032240002881736E-2</v>
      </c>
      <c r="O47">
        <f t="shared" ca="1" si="4"/>
        <v>-3.355701137556176E-2</v>
      </c>
      <c r="Q47" s="2">
        <f t="shared" si="5"/>
        <v>20301.029000000002</v>
      </c>
    </row>
    <row r="48" spans="1:17" x14ac:dyDescent="0.2">
      <c r="A48" s="38" t="s">
        <v>71</v>
      </c>
      <c r="B48" s="40" t="s">
        <v>40</v>
      </c>
      <c r="C48" s="39">
        <v>35371.370000000003</v>
      </c>
      <c r="D48" s="19"/>
      <c r="E48">
        <f t="shared" si="0"/>
        <v>498.49331017940182</v>
      </c>
      <c r="F48">
        <f t="shared" si="1"/>
        <v>498.5</v>
      </c>
      <c r="G48">
        <f t="shared" si="2"/>
        <v>-5.1794399987556972E-3</v>
      </c>
      <c r="I48">
        <f t="shared" si="7"/>
        <v>-5.1794399987556972E-3</v>
      </c>
      <c r="O48">
        <f t="shared" ca="1" si="4"/>
        <v>-3.6648041719359432E-2</v>
      </c>
      <c r="Q48" s="2">
        <f t="shared" si="5"/>
        <v>20352.870000000003</v>
      </c>
    </row>
    <row r="49" spans="1:17" x14ac:dyDescent="0.2">
      <c r="A49" s="38" t="s">
        <v>71</v>
      </c>
      <c r="B49" s="40" t="s">
        <v>38</v>
      </c>
      <c r="C49" s="39">
        <v>35373.285000000003</v>
      </c>
      <c r="D49" s="19"/>
      <c r="E49">
        <f t="shared" si="0"/>
        <v>500.96674484528597</v>
      </c>
      <c r="F49">
        <f t="shared" si="1"/>
        <v>501</v>
      </c>
      <c r="G49">
        <f t="shared" si="2"/>
        <v>-2.574703999562189E-2</v>
      </c>
      <c r="I49">
        <f t="shared" si="7"/>
        <v>-2.574703999562189E-2</v>
      </c>
      <c r="O49">
        <f t="shared" ca="1" si="4"/>
        <v>-3.6763378672486205E-2</v>
      </c>
      <c r="Q49" s="2">
        <f t="shared" si="5"/>
        <v>20354.785000000003</v>
      </c>
    </row>
    <row r="50" spans="1:17" x14ac:dyDescent="0.2">
      <c r="A50" s="38" t="s">
        <v>71</v>
      </c>
      <c r="B50" s="40" t="s">
        <v>40</v>
      </c>
      <c r="C50" s="39">
        <v>35374.464999999997</v>
      </c>
      <c r="D50" s="19"/>
      <c r="E50">
        <f t="shared" si="0"/>
        <v>502.49084557934583</v>
      </c>
      <c r="F50">
        <f t="shared" si="1"/>
        <v>502.5</v>
      </c>
      <c r="G50">
        <f t="shared" si="2"/>
        <v>-7.0876000027055852E-3</v>
      </c>
      <c r="I50">
        <f t="shared" si="7"/>
        <v>-7.0876000027055852E-3</v>
      </c>
      <c r="O50">
        <f t="shared" ca="1" si="4"/>
        <v>-3.6832580844362278E-2</v>
      </c>
      <c r="Q50" s="2">
        <f t="shared" si="5"/>
        <v>20355.964999999997</v>
      </c>
    </row>
    <row r="51" spans="1:17" x14ac:dyDescent="0.2">
      <c r="A51" s="38" t="s">
        <v>71</v>
      </c>
      <c r="B51" s="40" t="s">
        <v>38</v>
      </c>
      <c r="C51" s="39">
        <v>35428.269999999997</v>
      </c>
      <c r="D51" s="19"/>
      <c r="E51">
        <f t="shared" si="0"/>
        <v>571.98596422051378</v>
      </c>
      <c r="F51">
        <f t="shared" si="1"/>
        <v>572</v>
      </c>
      <c r="G51">
        <f t="shared" si="2"/>
        <v>-1.0866880002140533E-2</v>
      </c>
      <c r="I51">
        <f t="shared" si="7"/>
        <v>-1.0866880002140533E-2</v>
      </c>
      <c r="O51">
        <f t="shared" ca="1" si="4"/>
        <v>-4.0038948141286723E-2</v>
      </c>
      <c r="Q51" s="2">
        <f t="shared" si="5"/>
        <v>20409.769999999997</v>
      </c>
    </row>
    <row r="52" spans="1:17" x14ac:dyDescent="0.2">
      <c r="A52" s="38" t="s">
        <v>71</v>
      </c>
      <c r="B52" s="40" t="s">
        <v>40</v>
      </c>
      <c r="C52" s="39">
        <v>35454.230000000003</v>
      </c>
      <c r="D52" s="19"/>
      <c r="E52">
        <f t="shared" si="0"/>
        <v>605.51618037003811</v>
      </c>
      <c r="F52">
        <f t="shared" si="1"/>
        <v>605.5</v>
      </c>
      <c r="G52">
        <f t="shared" si="2"/>
        <v>1.2527279999630991E-2</v>
      </c>
      <c r="I52">
        <f t="shared" si="7"/>
        <v>1.2527279999630991E-2</v>
      </c>
      <c r="O52">
        <f t="shared" ca="1" si="4"/>
        <v>-4.1584463313185563E-2</v>
      </c>
      <c r="Q52" s="2">
        <f t="shared" si="5"/>
        <v>20435.730000000003</v>
      </c>
    </row>
    <row r="53" spans="1:17" x14ac:dyDescent="0.2">
      <c r="A53" s="38" t="s">
        <v>71</v>
      </c>
      <c r="B53" s="40" t="s">
        <v>40</v>
      </c>
      <c r="C53" s="39">
        <v>36815.31</v>
      </c>
      <c r="D53" s="19"/>
      <c r="E53">
        <f t="shared" ref="E53:E80" si="8">+(C53-C$7)/C$8</f>
        <v>2363.5017965789407</v>
      </c>
      <c r="F53">
        <f t="shared" si="1"/>
        <v>2363.5</v>
      </c>
      <c r="G53">
        <f t="shared" ref="G53:G80" si="9">+C53-(C$7+F53*C$8)</f>
        <v>1.3909599947510287E-3</v>
      </c>
      <c r="I53">
        <f t="shared" si="7"/>
        <v>1.3909599947510287E-3</v>
      </c>
      <c r="O53">
        <f t="shared" ref="O53:O80" ca="1" si="10">+C$11+C$12*$F53</f>
        <v>-0.12268940875193636</v>
      </c>
      <c r="Q53" s="2">
        <f t="shared" ref="Q53:Q80" si="11">+C53-15018.5</f>
        <v>21796.809999999998</v>
      </c>
    </row>
    <row r="54" spans="1:17" x14ac:dyDescent="0.2">
      <c r="A54" s="38" t="s">
        <v>71</v>
      </c>
      <c r="B54" s="40" t="s">
        <v>38</v>
      </c>
      <c r="C54" s="39">
        <v>36815.660000000003</v>
      </c>
      <c r="D54" s="19"/>
      <c r="E54">
        <f t="shared" si="8"/>
        <v>2363.9538603560022</v>
      </c>
      <c r="F54">
        <f t="shared" si="1"/>
        <v>2364</v>
      </c>
      <c r="G54">
        <f t="shared" si="9"/>
        <v>-3.572256000188645E-2</v>
      </c>
      <c r="I54">
        <f t="shared" si="7"/>
        <v>-3.572256000188645E-2</v>
      </c>
      <c r="O54">
        <f t="shared" ca="1" si="10"/>
        <v>-0.12271247614256171</v>
      </c>
      <c r="Q54" s="2">
        <f t="shared" si="11"/>
        <v>21797.160000000003</v>
      </c>
    </row>
    <row r="55" spans="1:17" x14ac:dyDescent="0.2">
      <c r="A55" s="38" t="s">
        <v>71</v>
      </c>
      <c r="B55" s="40" t="s">
        <v>38</v>
      </c>
      <c r="C55" s="39">
        <v>36816.480000000003</v>
      </c>
      <c r="D55" s="19"/>
      <c r="E55">
        <f t="shared" si="8"/>
        <v>2365.0129812051009</v>
      </c>
      <c r="F55">
        <f t="shared" si="1"/>
        <v>2365</v>
      </c>
      <c r="G55">
        <f t="shared" si="9"/>
        <v>1.005040000018198E-2</v>
      </c>
      <c r="I55">
        <f t="shared" si="7"/>
        <v>1.005040000018198E-2</v>
      </c>
      <c r="O55">
        <f t="shared" ca="1" si="10"/>
        <v>-0.12275861092381243</v>
      </c>
      <c r="Q55" s="2">
        <f t="shared" si="11"/>
        <v>21797.980000000003</v>
      </c>
    </row>
    <row r="56" spans="1:17" x14ac:dyDescent="0.2">
      <c r="A56" s="38" t="s">
        <v>71</v>
      </c>
      <c r="B56" s="40" t="s">
        <v>40</v>
      </c>
      <c r="C56" s="39">
        <v>36818.42</v>
      </c>
      <c r="D56" s="19"/>
      <c r="E56">
        <f t="shared" si="8"/>
        <v>2367.5187061407669</v>
      </c>
      <c r="F56">
        <f t="shared" si="1"/>
        <v>2367.5</v>
      </c>
      <c r="G56">
        <f t="shared" si="9"/>
        <v>1.4482799997495022E-2</v>
      </c>
      <c r="I56">
        <f t="shared" si="7"/>
        <v>1.4482799997495022E-2</v>
      </c>
      <c r="O56">
        <f t="shared" ca="1" si="10"/>
        <v>-0.12287394787693921</v>
      </c>
      <c r="Q56" s="2">
        <f t="shared" si="11"/>
        <v>21799.919999999998</v>
      </c>
    </row>
    <row r="57" spans="1:17" x14ac:dyDescent="0.2">
      <c r="A57" s="38" t="s">
        <v>71</v>
      </c>
      <c r="B57" s="40" t="s">
        <v>40</v>
      </c>
      <c r="C57" s="39">
        <v>36849.375</v>
      </c>
      <c r="D57" s="19"/>
      <c r="E57">
        <f t="shared" si="8"/>
        <v>2407.5005181942465</v>
      </c>
      <c r="F57">
        <f t="shared" si="1"/>
        <v>2407.5</v>
      </c>
      <c r="G57">
        <f t="shared" si="9"/>
        <v>4.0119999903254211E-4</v>
      </c>
      <c r="I57">
        <f t="shared" si="7"/>
        <v>4.0119999903254211E-4</v>
      </c>
      <c r="O57">
        <f t="shared" ca="1" si="10"/>
        <v>-0.12471933912696767</v>
      </c>
      <c r="Q57" s="2">
        <f t="shared" si="11"/>
        <v>21830.875</v>
      </c>
    </row>
    <row r="58" spans="1:17" x14ac:dyDescent="0.2">
      <c r="A58" s="38" t="s">
        <v>71</v>
      </c>
      <c r="B58" s="40" t="s">
        <v>40</v>
      </c>
      <c r="C58" s="39">
        <v>37143.56</v>
      </c>
      <c r="D58" s="19"/>
      <c r="E58">
        <f t="shared" si="8"/>
        <v>2787.4730389163301</v>
      </c>
      <c r="F58">
        <f t="shared" si="1"/>
        <v>2787.5</v>
      </c>
      <c r="G58">
        <f t="shared" si="9"/>
        <v>-2.0874000001640525E-2</v>
      </c>
      <c r="I58">
        <f t="shared" si="7"/>
        <v>-2.0874000001640525E-2</v>
      </c>
      <c r="O58">
        <f t="shared" ca="1" si="10"/>
        <v>-0.14225055600223804</v>
      </c>
      <c r="Q58" s="2">
        <f t="shared" si="11"/>
        <v>22125.059999999998</v>
      </c>
    </row>
    <row r="59" spans="1:17" x14ac:dyDescent="0.2">
      <c r="A59" s="38" t="s">
        <v>175</v>
      </c>
      <c r="B59" s="40" t="s">
        <v>38</v>
      </c>
      <c r="C59" s="39">
        <v>45945.402999999998</v>
      </c>
      <c r="D59" s="19"/>
      <c r="E59">
        <f t="shared" si="8"/>
        <v>14156.02844354286</v>
      </c>
      <c r="F59" s="15">
        <f t="shared" ref="F59:F64" si="12">ROUND(2*E59,0)/2+1</f>
        <v>14157</v>
      </c>
      <c r="G59">
        <f t="shared" si="9"/>
        <v>-0.75220528000500053</v>
      </c>
      <c r="I59">
        <f t="shared" si="7"/>
        <v>-0.75220528000500053</v>
      </c>
      <c r="O59">
        <f t="shared" ca="1" si="10"/>
        <v>-0.66677995143220237</v>
      </c>
      <c r="Q59" s="2">
        <f t="shared" si="11"/>
        <v>30926.902999999998</v>
      </c>
    </row>
    <row r="60" spans="1:17" x14ac:dyDescent="0.2">
      <c r="A60" t="s">
        <v>34</v>
      </c>
      <c r="C60" s="19">
        <v>48475.472999999998</v>
      </c>
      <c r="D60" s="19">
        <v>8.0000000000000002E-3</v>
      </c>
      <c r="E60">
        <f t="shared" si="8"/>
        <v>17423.894159005344</v>
      </c>
      <c r="F60" s="15">
        <f t="shared" si="12"/>
        <v>17425</v>
      </c>
      <c r="G60">
        <f t="shared" si="9"/>
        <v>-0.85617199999978766</v>
      </c>
      <c r="J60">
        <f t="shared" ref="J60:J65" si="13">+G60</f>
        <v>-0.85617199999978766</v>
      </c>
      <c r="O60">
        <f t="shared" ca="1" si="10"/>
        <v>-0.81754841655952748</v>
      </c>
      <c r="Q60" s="2">
        <f t="shared" si="11"/>
        <v>33456.972999999998</v>
      </c>
    </row>
    <row r="61" spans="1:17" x14ac:dyDescent="0.2">
      <c r="A61" t="s">
        <v>34</v>
      </c>
      <c r="C61" s="19">
        <v>48499.440999999999</v>
      </c>
      <c r="D61" s="19">
        <v>7.0000000000000001E-3</v>
      </c>
      <c r="E61">
        <f t="shared" si="8"/>
        <v>17454.851486458025</v>
      </c>
      <c r="F61" s="15">
        <f t="shared" si="12"/>
        <v>17456</v>
      </c>
      <c r="G61">
        <f t="shared" si="9"/>
        <v>-0.88921024000592297</v>
      </c>
      <c r="J61">
        <f t="shared" si="13"/>
        <v>-0.88921024000592297</v>
      </c>
      <c r="O61">
        <f t="shared" ca="1" si="10"/>
        <v>-0.8189785947782996</v>
      </c>
      <c r="Q61" s="2">
        <f t="shared" si="11"/>
        <v>33480.940999999999</v>
      </c>
    </row>
    <row r="62" spans="1:17" x14ac:dyDescent="0.2">
      <c r="A62" t="s">
        <v>34</v>
      </c>
      <c r="C62" s="19">
        <v>49212.500999999997</v>
      </c>
      <c r="D62" s="19">
        <v>8.9999999999999993E-3</v>
      </c>
      <c r="E62">
        <f t="shared" si="8"/>
        <v>18375.847477504783</v>
      </c>
      <c r="F62" s="15">
        <f t="shared" si="12"/>
        <v>18377</v>
      </c>
      <c r="G62">
        <f t="shared" si="9"/>
        <v>-0.89231408000341617</v>
      </c>
      <c r="J62">
        <f t="shared" si="13"/>
        <v>-0.89231408000341617</v>
      </c>
      <c r="O62">
        <f t="shared" ca="1" si="10"/>
        <v>-0.86146872831020482</v>
      </c>
      <c r="Q62" s="2">
        <f t="shared" si="11"/>
        <v>34194.000999999997</v>
      </c>
    </row>
    <row r="63" spans="1:17" x14ac:dyDescent="0.2">
      <c r="A63" t="s">
        <v>35</v>
      </c>
      <c r="B63" s="6" t="s">
        <v>40</v>
      </c>
      <c r="C63" s="19">
        <v>49546.58</v>
      </c>
      <c r="D63" s="19">
        <v>8.0000000000000002E-3</v>
      </c>
      <c r="E63">
        <f t="shared" si="8"/>
        <v>18807.347519146322</v>
      </c>
      <c r="F63" s="15">
        <f t="shared" si="12"/>
        <v>18808.5</v>
      </c>
      <c r="G63">
        <f t="shared" si="9"/>
        <v>-0.89228184000239708</v>
      </c>
      <c r="J63">
        <f t="shared" si="13"/>
        <v>-0.89228184000239708</v>
      </c>
      <c r="O63">
        <f t="shared" ca="1" si="10"/>
        <v>-0.88137588641988684</v>
      </c>
      <c r="Q63" s="2">
        <f t="shared" si="11"/>
        <v>34528.080000000002</v>
      </c>
    </row>
    <row r="64" spans="1:17" x14ac:dyDescent="0.2">
      <c r="A64" t="s">
        <v>35</v>
      </c>
      <c r="B64" s="6"/>
      <c r="C64" s="19">
        <v>49579.491999999998</v>
      </c>
      <c r="D64" s="19">
        <v>8.0000000000000002E-3</v>
      </c>
      <c r="E64">
        <f t="shared" si="8"/>
        <v>18849.857013518922</v>
      </c>
      <c r="F64" s="15">
        <f t="shared" si="12"/>
        <v>18851</v>
      </c>
      <c r="G64">
        <f t="shared" si="9"/>
        <v>-0.88493104000372114</v>
      </c>
      <c r="J64">
        <f t="shared" si="13"/>
        <v>-0.88493104000372114</v>
      </c>
      <c r="O64">
        <f t="shared" ca="1" si="10"/>
        <v>-0.88333661462304214</v>
      </c>
      <c r="Q64" s="2">
        <f t="shared" si="11"/>
        <v>34560.991999999998</v>
      </c>
    </row>
    <row r="65" spans="1:17" x14ac:dyDescent="0.2">
      <c r="A65" t="s">
        <v>36</v>
      </c>
      <c r="B65" s="6" t="s">
        <v>40</v>
      </c>
      <c r="C65" s="19">
        <v>49961.489000000001</v>
      </c>
      <c r="D65" s="19">
        <v>7.0000000000000001E-3</v>
      </c>
      <c r="E65">
        <f t="shared" si="8"/>
        <v>19343.248461071573</v>
      </c>
      <c r="F65" s="14">
        <f t="shared" ref="F65:F80" si="14">ROUND(2*E65,0)/2+1.5</f>
        <v>19344.5</v>
      </c>
      <c r="G65">
        <f t="shared" si="9"/>
        <v>-0.96897528000408784</v>
      </c>
      <c r="J65">
        <f t="shared" si="13"/>
        <v>-0.96897528000408784</v>
      </c>
      <c r="O65">
        <f t="shared" ca="1" si="10"/>
        <v>-0.90610412917026817</v>
      </c>
      <c r="Q65" s="2">
        <f t="shared" si="11"/>
        <v>34942.989000000001</v>
      </c>
    </row>
    <row r="66" spans="1:17" x14ac:dyDescent="0.2">
      <c r="A66" s="38" t="s">
        <v>197</v>
      </c>
      <c r="B66" s="40" t="s">
        <v>40</v>
      </c>
      <c r="C66" s="39">
        <v>50013.351000000002</v>
      </c>
      <c r="D66" s="19"/>
      <c r="E66">
        <f t="shared" si="8"/>
        <v>19410.233979944696</v>
      </c>
      <c r="F66" s="14">
        <f t="shared" si="14"/>
        <v>19411.5</v>
      </c>
      <c r="G66">
        <f t="shared" si="9"/>
        <v>-0.98018695999780903</v>
      </c>
      <c r="I66">
        <f>G66</f>
        <v>-0.98018695999780903</v>
      </c>
      <c r="O66">
        <f t="shared" ca="1" si="10"/>
        <v>-0.90919515951406593</v>
      </c>
      <c r="Q66" s="2">
        <f t="shared" si="11"/>
        <v>34994.851000000002</v>
      </c>
    </row>
    <row r="67" spans="1:17" x14ac:dyDescent="0.2">
      <c r="A67" t="s">
        <v>36</v>
      </c>
      <c r="B67" s="6" t="s">
        <v>40</v>
      </c>
      <c r="C67" s="19">
        <v>50133.351000000002</v>
      </c>
      <c r="D67" s="19">
        <v>3.0000000000000001E-3</v>
      </c>
      <c r="E67">
        <f t="shared" si="8"/>
        <v>19565.227274934754</v>
      </c>
      <c r="F67" s="14">
        <f t="shared" si="14"/>
        <v>19566.5</v>
      </c>
      <c r="G67">
        <f t="shared" si="9"/>
        <v>-0.98537816000316525</v>
      </c>
      <c r="J67">
        <f>+G67</f>
        <v>-0.98537816000316525</v>
      </c>
      <c r="O67">
        <f t="shared" ca="1" si="10"/>
        <v>-0.91634605060792618</v>
      </c>
      <c r="Q67" s="2">
        <f t="shared" si="11"/>
        <v>35114.851000000002</v>
      </c>
    </row>
    <row r="68" spans="1:17" x14ac:dyDescent="0.2">
      <c r="A68" s="22" t="s">
        <v>53</v>
      </c>
      <c r="B68" s="23" t="s">
        <v>40</v>
      </c>
      <c r="C68" s="22">
        <v>51430.4182</v>
      </c>
      <c r="D68" s="22">
        <v>2.0000000000000001E-4</v>
      </c>
      <c r="E68">
        <f t="shared" si="8"/>
        <v>21240.533267864164</v>
      </c>
      <c r="F68" s="14">
        <f t="shared" si="14"/>
        <v>21242</v>
      </c>
      <c r="G68">
        <f t="shared" si="9"/>
        <v>-1.1355836800066754</v>
      </c>
      <c r="J68">
        <f>+G68</f>
        <v>-1.1355836800066754</v>
      </c>
      <c r="O68">
        <f t="shared" ca="1" si="10"/>
        <v>-0.99364487659349321</v>
      </c>
      <c r="Q68" s="2">
        <f t="shared" si="11"/>
        <v>36411.9182</v>
      </c>
    </row>
    <row r="69" spans="1:17" x14ac:dyDescent="0.2">
      <c r="A69" s="11" t="s">
        <v>37</v>
      </c>
      <c r="B69" s="16" t="s">
        <v>38</v>
      </c>
      <c r="C69" s="19">
        <v>52580.523099999999</v>
      </c>
      <c r="D69" s="19">
        <v>2.9999999999999997E-4</v>
      </c>
      <c r="E69">
        <f t="shared" si="8"/>
        <v>22726.021168157593</v>
      </c>
      <c r="F69" s="14">
        <f t="shared" si="14"/>
        <v>22727.5</v>
      </c>
      <c r="G69">
        <f t="shared" si="9"/>
        <v>-1.1449516000066069</v>
      </c>
      <c r="K69">
        <f t="shared" ref="K69:K78" si="15">+G69</f>
        <v>-1.1449516000066069</v>
      </c>
      <c r="O69">
        <f t="shared" ca="1" si="10"/>
        <v>-1.0621780941414252</v>
      </c>
      <c r="Q69" s="2">
        <f t="shared" si="11"/>
        <v>37562.023099999999</v>
      </c>
    </row>
    <row r="70" spans="1:17" x14ac:dyDescent="0.2">
      <c r="A70" s="17" t="s">
        <v>43</v>
      </c>
      <c r="B70" s="18"/>
      <c r="C70" s="19">
        <v>53544.4447</v>
      </c>
      <c r="D70" s="19">
        <v>6.9999999999999999E-4</v>
      </c>
      <c r="E70">
        <f t="shared" si="8"/>
        <v>23971.032708958341</v>
      </c>
      <c r="F70" s="14">
        <f t="shared" si="14"/>
        <v>23972.5</v>
      </c>
      <c r="G70">
        <f t="shared" si="9"/>
        <v>-1.1360163999997894</v>
      </c>
      <c r="K70">
        <f t="shared" si="15"/>
        <v>-1.1360163999997894</v>
      </c>
      <c r="O70">
        <f t="shared" ca="1" si="10"/>
        <v>-1.119615896798561</v>
      </c>
      <c r="Q70" s="2">
        <f t="shared" si="11"/>
        <v>38525.9447</v>
      </c>
    </row>
    <row r="71" spans="1:17" x14ac:dyDescent="0.2">
      <c r="A71" s="17" t="s">
        <v>43</v>
      </c>
      <c r="B71" s="6" t="s">
        <v>40</v>
      </c>
      <c r="C71" s="19">
        <v>53614.514900000002</v>
      </c>
      <c r="D71" s="19">
        <v>2.7000000000000001E-3</v>
      </c>
      <c r="E71">
        <f t="shared" si="8"/>
        <v>24061.536135446782</v>
      </c>
      <c r="F71" s="14">
        <f t="shared" si="14"/>
        <v>24063</v>
      </c>
      <c r="G71">
        <f t="shared" si="9"/>
        <v>-1.1333635199989658</v>
      </c>
      <c r="K71">
        <f t="shared" si="15"/>
        <v>-1.1333635199989658</v>
      </c>
      <c r="O71">
        <f t="shared" ca="1" si="10"/>
        <v>-1.1237910945017504</v>
      </c>
      <c r="Q71" s="2">
        <f t="shared" si="11"/>
        <v>38596.014900000002</v>
      </c>
    </row>
    <row r="72" spans="1:17" x14ac:dyDescent="0.2">
      <c r="A72" s="17" t="s">
        <v>43</v>
      </c>
      <c r="B72" s="6" t="s">
        <v>40</v>
      </c>
      <c r="C72" s="19">
        <v>53899.427799999998</v>
      </c>
      <c r="D72" s="19">
        <v>1E-3</v>
      </c>
      <c r="E72">
        <f t="shared" si="8"/>
        <v>24429.532711748219</v>
      </c>
      <c r="F72" s="14">
        <f t="shared" si="14"/>
        <v>24431</v>
      </c>
      <c r="G72">
        <f t="shared" si="9"/>
        <v>-1.1360142400008044</v>
      </c>
      <c r="K72">
        <f t="shared" si="15"/>
        <v>-1.1360142400008044</v>
      </c>
      <c r="O72">
        <f t="shared" ca="1" si="10"/>
        <v>-1.1407686940020123</v>
      </c>
      <c r="Q72" s="2">
        <f t="shared" si="11"/>
        <v>38880.927799999998</v>
      </c>
    </row>
    <row r="73" spans="1:17" x14ac:dyDescent="0.2">
      <c r="A73" s="20" t="s">
        <v>50</v>
      </c>
      <c r="B73" s="21" t="s">
        <v>38</v>
      </c>
      <c r="C73" s="20">
        <v>54213.49755</v>
      </c>
      <c r="D73" s="20">
        <v>1E-4</v>
      </c>
      <c r="E73">
        <f t="shared" si="8"/>
        <v>24835.188590158254</v>
      </c>
      <c r="F73" s="14">
        <f t="shared" si="14"/>
        <v>24836.5</v>
      </c>
      <c r="G73">
        <f t="shared" si="9"/>
        <v>-1.0153289599984419</v>
      </c>
      <c r="K73">
        <f t="shared" si="15"/>
        <v>-1.0153289599984419</v>
      </c>
      <c r="O73">
        <f t="shared" ca="1" si="10"/>
        <v>-1.1594763477991756</v>
      </c>
      <c r="Q73" s="2">
        <f t="shared" si="11"/>
        <v>39194.99755</v>
      </c>
    </row>
    <row r="74" spans="1:17" x14ac:dyDescent="0.2">
      <c r="A74" s="20" t="s">
        <v>50</v>
      </c>
      <c r="B74" s="21" t="s">
        <v>38</v>
      </c>
      <c r="C74" s="20">
        <v>54216.415739999997</v>
      </c>
      <c r="D74" s="20">
        <v>1E-4</v>
      </c>
      <c r="E74">
        <f t="shared" si="8"/>
        <v>24838.957755854142</v>
      </c>
      <c r="F74" s="14">
        <f t="shared" si="14"/>
        <v>24840.5</v>
      </c>
      <c r="G74">
        <f t="shared" si="9"/>
        <v>-1.1940471200068714</v>
      </c>
      <c r="K74">
        <f t="shared" si="15"/>
        <v>-1.1940471200068714</v>
      </c>
      <c r="O74">
        <f t="shared" ca="1" si="10"/>
        <v>-1.1596608869241785</v>
      </c>
      <c r="Q74" s="2">
        <f t="shared" si="11"/>
        <v>39197.915739999997</v>
      </c>
    </row>
    <row r="75" spans="1:17" x14ac:dyDescent="0.2">
      <c r="A75" s="20" t="s">
        <v>49</v>
      </c>
      <c r="B75" s="21" t="s">
        <v>40</v>
      </c>
      <c r="C75" s="20">
        <v>54508.549980000003</v>
      </c>
      <c r="D75" s="20">
        <v>5.0000000000000001E-4</v>
      </c>
      <c r="E75">
        <f t="shared" si="8"/>
        <v>25216.28149282929</v>
      </c>
      <c r="F75" s="14">
        <f t="shared" si="14"/>
        <v>25218</v>
      </c>
      <c r="G75">
        <f t="shared" si="9"/>
        <v>-1.3305147199935163</v>
      </c>
      <c r="K75">
        <f t="shared" si="15"/>
        <v>-1.3305147199935163</v>
      </c>
      <c r="O75">
        <f t="shared" ca="1" si="10"/>
        <v>-1.1770767668463222</v>
      </c>
      <c r="Q75" s="2">
        <f t="shared" si="11"/>
        <v>39490.049980000003</v>
      </c>
    </row>
    <row r="76" spans="1:17" x14ac:dyDescent="0.2">
      <c r="A76" s="20" t="s">
        <v>49</v>
      </c>
      <c r="B76" s="21" t="s">
        <v>40</v>
      </c>
      <c r="C76" s="20">
        <v>54674.431120000001</v>
      </c>
      <c r="D76" s="20">
        <v>5.9999999999999995E-4</v>
      </c>
      <c r="E76">
        <f t="shared" si="8"/>
        <v>25430.535363373514</v>
      </c>
      <c r="F76" s="14">
        <f t="shared" si="14"/>
        <v>25432</v>
      </c>
      <c r="G76">
        <f t="shared" si="9"/>
        <v>-1.1339612800002214</v>
      </c>
      <c r="K76">
        <f t="shared" si="15"/>
        <v>-1.1339612800002214</v>
      </c>
      <c r="O76">
        <f t="shared" ca="1" si="10"/>
        <v>-1.1869496100339745</v>
      </c>
      <c r="Q76" s="2">
        <f t="shared" si="11"/>
        <v>39655.931120000001</v>
      </c>
    </row>
    <row r="77" spans="1:17" x14ac:dyDescent="0.2">
      <c r="A77" s="20" t="s">
        <v>49</v>
      </c>
      <c r="B77" s="21" t="s">
        <v>40</v>
      </c>
      <c r="C77" s="20">
        <v>54712.36954</v>
      </c>
      <c r="D77" s="20">
        <v>2.9999999999999997E-4</v>
      </c>
      <c r="E77">
        <f t="shared" si="8"/>
        <v>25479.537036061149</v>
      </c>
      <c r="F77" s="14">
        <f t="shared" si="14"/>
        <v>25481</v>
      </c>
      <c r="G77">
        <f t="shared" si="9"/>
        <v>-1.1326662400024361</v>
      </c>
      <c r="K77">
        <f t="shared" si="15"/>
        <v>-1.1326662400024361</v>
      </c>
      <c r="O77">
        <f t="shared" ca="1" si="10"/>
        <v>-1.1892102143152592</v>
      </c>
      <c r="Q77" s="2">
        <f t="shared" si="11"/>
        <v>39693.86954</v>
      </c>
    </row>
    <row r="78" spans="1:17" x14ac:dyDescent="0.2">
      <c r="A78" s="20" t="s">
        <v>49</v>
      </c>
      <c r="B78" s="21" t="s">
        <v>40</v>
      </c>
      <c r="C78" s="20">
        <v>54719.33556</v>
      </c>
      <c r="D78" s="20">
        <v>4.0000000000000002E-4</v>
      </c>
      <c r="E78">
        <f t="shared" si="8"/>
        <v>25488.534422667541</v>
      </c>
      <c r="F78" s="14">
        <f t="shared" si="14"/>
        <v>25490</v>
      </c>
      <c r="G78">
        <f t="shared" si="9"/>
        <v>-1.1346896000031848</v>
      </c>
      <c r="K78">
        <f t="shared" si="15"/>
        <v>-1.1346896000031848</v>
      </c>
      <c r="O78">
        <f t="shared" ca="1" si="10"/>
        <v>-1.1896254273465157</v>
      </c>
      <c r="Q78" s="2">
        <f t="shared" si="11"/>
        <v>39700.83556</v>
      </c>
    </row>
    <row r="79" spans="1:17" x14ac:dyDescent="0.2">
      <c r="A79" s="38" t="s">
        <v>248</v>
      </c>
      <c r="B79" s="40" t="s">
        <v>40</v>
      </c>
      <c r="C79" s="39">
        <v>55797.450400000002</v>
      </c>
      <c r="D79" s="19"/>
      <c r="E79">
        <f t="shared" si="8"/>
        <v>26881.039184578207</v>
      </c>
      <c r="F79" s="14">
        <f t="shared" si="14"/>
        <v>26882.5</v>
      </c>
      <c r="G79">
        <f t="shared" si="9"/>
        <v>-1.1310028000007151</v>
      </c>
      <c r="K79">
        <f>G79</f>
        <v>-1.1310028000007151</v>
      </c>
      <c r="O79">
        <f t="shared" ca="1" si="10"/>
        <v>-1.2538681102381315</v>
      </c>
      <c r="Q79" s="2">
        <f t="shared" si="11"/>
        <v>40778.950400000002</v>
      </c>
    </row>
    <row r="80" spans="1:17" x14ac:dyDescent="0.2">
      <c r="A80" s="38" t="s">
        <v>248</v>
      </c>
      <c r="B80" s="40" t="s">
        <v>40</v>
      </c>
      <c r="C80" s="39">
        <v>55835.388500000001</v>
      </c>
      <c r="D80" s="19"/>
      <c r="E80">
        <f t="shared" si="8"/>
        <v>26930.040443950395</v>
      </c>
      <c r="F80" s="14">
        <f t="shared" si="14"/>
        <v>26931.5</v>
      </c>
      <c r="G80">
        <f t="shared" si="9"/>
        <v>-1.1300277600021218</v>
      </c>
      <c r="K80">
        <f>G80</f>
        <v>-1.1300277600021218</v>
      </c>
      <c r="O80">
        <f t="shared" ca="1" si="10"/>
        <v>-1.2561287145194162</v>
      </c>
      <c r="Q80" s="2">
        <f t="shared" si="11"/>
        <v>40816.888500000001</v>
      </c>
    </row>
    <row r="81" spans="2:4" x14ac:dyDescent="0.2">
      <c r="B81" s="6"/>
      <c r="C81" s="19"/>
      <c r="D81" s="19"/>
    </row>
    <row r="82" spans="2:4" x14ac:dyDescent="0.2">
      <c r="B82" s="6"/>
      <c r="C82" s="19"/>
      <c r="D82" s="19"/>
    </row>
    <row r="83" spans="2:4" x14ac:dyDescent="0.2">
      <c r="B83" s="6"/>
      <c r="C83" s="19"/>
      <c r="D83" s="19"/>
    </row>
    <row r="84" spans="2:4" x14ac:dyDescent="0.2">
      <c r="B84" s="6"/>
      <c r="C84" s="19"/>
      <c r="D84" s="19"/>
    </row>
    <row r="85" spans="2:4" x14ac:dyDescent="0.2">
      <c r="B85" s="6"/>
      <c r="C85" s="19"/>
      <c r="D85" s="19"/>
    </row>
    <row r="86" spans="2:4" x14ac:dyDescent="0.2">
      <c r="B86" s="6"/>
      <c r="C86" s="19"/>
      <c r="D86" s="19"/>
    </row>
    <row r="87" spans="2:4" x14ac:dyDescent="0.2">
      <c r="B87" s="6"/>
      <c r="C87" s="19"/>
      <c r="D87" s="19"/>
    </row>
    <row r="88" spans="2:4" x14ac:dyDescent="0.2">
      <c r="B88" s="6"/>
      <c r="C88" s="19"/>
      <c r="D88" s="19"/>
    </row>
    <row r="89" spans="2:4" x14ac:dyDescent="0.2">
      <c r="B89" s="6"/>
      <c r="C89" s="19"/>
      <c r="D89" s="19"/>
    </row>
    <row r="90" spans="2:4" x14ac:dyDescent="0.2">
      <c r="B90" s="6"/>
      <c r="C90" s="19"/>
      <c r="D90" s="19"/>
    </row>
    <row r="91" spans="2:4" x14ac:dyDescent="0.2">
      <c r="B91" s="6"/>
      <c r="C91" s="19"/>
      <c r="D91" s="19"/>
    </row>
    <row r="92" spans="2:4" x14ac:dyDescent="0.2">
      <c r="B92" s="6"/>
      <c r="C92" s="19"/>
      <c r="D92" s="19"/>
    </row>
    <row r="93" spans="2:4" x14ac:dyDescent="0.2">
      <c r="B93" s="6"/>
      <c r="C93" s="19"/>
      <c r="D93" s="19"/>
    </row>
    <row r="94" spans="2:4" x14ac:dyDescent="0.2">
      <c r="B94" s="6"/>
      <c r="C94" s="19"/>
      <c r="D94" s="19"/>
    </row>
    <row r="95" spans="2:4" x14ac:dyDescent="0.2">
      <c r="B95" s="6"/>
      <c r="C95" s="19"/>
      <c r="D95" s="19"/>
    </row>
    <row r="96" spans="2:4" x14ac:dyDescent="0.2">
      <c r="B96" s="6"/>
      <c r="C96" s="19"/>
      <c r="D96" s="19"/>
    </row>
    <row r="97" spans="2:4" x14ac:dyDescent="0.2">
      <c r="B97" s="6"/>
      <c r="C97" s="19"/>
      <c r="D97" s="19"/>
    </row>
    <row r="98" spans="2:4" x14ac:dyDescent="0.2">
      <c r="B98" s="6"/>
      <c r="C98" s="19"/>
      <c r="D98" s="19"/>
    </row>
    <row r="99" spans="2:4" x14ac:dyDescent="0.2">
      <c r="B99" s="6"/>
      <c r="C99" s="19"/>
      <c r="D99" s="19"/>
    </row>
    <row r="100" spans="2:4" x14ac:dyDescent="0.2">
      <c r="B100" s="6"/>
      <c r="C100" s="19"/>
      <c r="D100" s="19"/>
    </row>
    <row r="101" spans="2:4" x14ac:dyDescent="0.2">
      <c r="B101" s="6"/>
      <c r="C101" s="19"/>
      <c r="D101" s="19"/>
    </row>
    <row r="102" spans="2:4" x14ac:dyDescent="0.2">
      <c r="C102" s="19"/>
      <c r="D102" s="19"/>
    </row>
    <row r="103" spans="2:4" x14ac:dyDescent="0.2">
      <c r="C103" s="19"/>
      <c r="D103" s="19"/>
    </row>
    <row r="104" spans="2:4" x14ac:dyDescent="0.2">
      <c r="C104" s="19"/>
      <c r="D104" s="19"/>
    </row>
    <row r="105" spans="2:4" x14ac:dyDescent="0.2">
      <c r="C105" s="19"/>
      <c r="D105" s="19"/>
    </row>
    <row r="106" spans="2:4" x14ac:dyDescent="0.2">
      <c r="C106" s="19"/>
      <c r="D106" s="19"/>
    </row>
    <row r="107" spans="2:4" x14ac:dyDescent="0.2">
      <c r="C107" s="19"/>
      <c r="D107" s="19"/>
    </row>
    <row r="108" spans="2:4" x14ac:dyDescent="0.2">
      <c r="C108" s="19"/>
      <c r="D108" s="19"/>
    </row>
    <row r="109" spans="2:4" x14ac:dyDescent="0.2">
      <c r="C109" s="19"/>
      <c r="D109" s="19"/>
    </row>
    <row r="110" spans="2:4" x14ac:dyDescent="0.2">
      <c r="C110" s="19"/>
      <c r="D110" s="19"/>
    </row>
    <row r="111" spans="2:4" x14ac:dyDescent="0.2">
      <c r="C111" s="19"/>
      <c r="D111" s="19"/>
    </row>
    <row r="112" spans="2:4" x14ac:dyDescent="0.2">
      <c r="C112" s="19"/>
      <c r="D112" s="19"/>
    </row>
    <row r="113" spans="3:4" x14ac:dyDescent="0.2">
      <c r="C113" s="19"/>
      <c r="D113" s="19"/>
    </row>
    <row r="114" spans="3:4" x14ac:dyDescent="0.2">
      <c r="C114" s="19"/>
      <c r="D114" s="19"/>
    </row>
    <row r="115" spans="3:4" x14ac:dyDescent="0.2">
      <c r="C115" s="19"/>
      <c r="D115" s="19"/>
    </row>
    <row r="116" spans="3:4" x14ac:dyDescent="0.2">
      <c r="C116" s="19"/>
      <c r="D116" s="19"/>
    </row>
    <row r="117" spans="3:4" x14ac:dyDescent="0.2">
      <c r="C117" s="19"/>
      <c r="D117" s="19"/>
    </row>
    <row r="118" spans="3:4" x14ac:dyDescent="0.2">
      <c r="C118" s="19"/>
      <c r="D118" s="19"/>
    </row>
    <row r="119" spans="3:4" x14ac:dyDescent="0.2">
      <c r="C119" s="19"/>
      <c r="D119" s="19"/>
    </row>
    <row r="120" spans="3:4" x14ac:dyDescent="0.2">
      <c r="C120" s="19"/>
      <c r="D120" s="19"/>
    </row>
    <row r="121" spans="3:4" x14ac:dyDescent="0.2">
      <c r="C121" s="19"/>
      <c r="D121" s="19"/>
    </row>
    <row r="122" spans="3:4" x14ac:dyDescent="0.2">
      <c r="C122" s="19"/>
      <c r="D122" s="19"/>
    </row>
    <row r="123" spans="3:4" x14ac:dyDescent="0.2">
      <c r="C123" s="19"/>
      <c r="D123" s="19"/>
    </row>
    <row r="124" spans="3:4" x14ac:dyDescent="0.2">
      <c r="C124" s="19"/>
      <c r="D124" s="19"/>
    </row>
    <row r="125" spans="3:4" x14ac:dyDescent="0.2">
      <c r="C125" s="19"/>
      <c r="D125" s="19"/>
    </row>
    <row r="126" spans="3:4" x14ac:dyDescent="0.2">
      <c r="C126" s="19"/>
      <c r="D126" s="19"/>
    </row>
    <row r="127" spans="3:4" x14ac:dyDescent="0.2">
      <c r="C127" s="19"/>
      <c r="D127" s="19"/>
    </row>
    <row r="128" spans="3:4" x14ac:dyDescent="0.2">
      <c r="C128" s="19"/>
      <c r="D128" s="19"/>
    </row>
    <row r="129" spans="3:4" x14ac:dyDescent="0.2">
      <c r="C129" s="19"/>
      <c r="D129" s="19"/>
    </row>
    <row r="130" spans="3:4" x14ac:dyDescent="0.2">
      <c r="C130" s="19"/>
      <c r="D130" s="19"/>
    </row>
    <row r="131" spans="3:4" x14ac:dyDescent="0.2">
      <c r="C131" s="19"/>
      <c r="D131" s="19"/>
    </row>
    <row r="132" spans="3:4" x14ac:dyDescent="0.2">
      <c r="C132" s="19"/>
      <c r="D132" s="19"/>
    </row>
    <row r="133" spans="3:4" x14ac:dyDescent="0.2">
      <c r="C133" s="19"/>
      <c r="D133" s="19"/>
    </row>
    <row r="134" spans="3:4" x14ac:dyDescent="0.2">
      <c r="C134" s="19"/>
      <c r="D134" s="19"/>
    </row>
    <row r="135" spans="3:4" x14ac:dyDescent="0.2">
      <c r="C135" s="19"/>
      <c r="D135" s="19"/>
    </row>
    <row r="136" spans="3:4" x14ac:dyDescent="0.2">
      <c r="C136" s="19"/>
      <c r="D136" s="19"/>
    </row>
    <row r="137" spans="3:4" x14ac:dyDescent="0.2">
      <c r="C137" s="19"/>
      <c r="D137" s="19"/>
    </row>
    <row r="138" spans="3:4" x14ac:dyDescent="0.2">
      <c r="C138" s="19"/>
      <c r="D138" s="19"/>
    </row>
    <row r="139" spans="3:4" x14ac:dyDescent="0.2">
      <c r="C139" s="19"/>
      <c r="D139" s="19"/>
    </row>
    <row r="140" spans="3:4" x14ac:dyDescent="0.2">
      <c r="C140" s="19"/>
      <c r="D140" s="19"/>
    </row>
    <row r="141" spans="3:4" x14ac:dyDescent="0.2">
      <c r="C141" s="19"/>
      <c r="D141" s="19"/>
    </row>
    <row r="142" spans="3:4" x14ac:dyDescent="0.2">
      <c r="C142" s="19"/>
      <c r="D142" s="19"/>
    </row>
    <row r="143" spans="3:4" x14ac:dyDescent="0.2">
      <c r="C143" s="19"/>
      <c r="D143" s="19"/>
    </row>
    <row r="144" spans="3:4" x14ac:dyDescent="0.2">
      <c r="C144" s="19"/>
      <c r="D144" s="19"/>
    </row>
    <row r="145" spans="3:4" x14ac:dyDescent="0.2">
      <c r="C145" s="19"/>
      <c r="D145" s="19"/>
    </row>
    <row r="146" spans="3:4" x14ac:dyDescent="0.2">
      <c r="C146" s="19"/>
      <c r="D146" s="19"/>
    </row>
    <row r="147" spans="3:4" x14ac:dyDescent="0.2">
      <c r="C147" s="19"/>
      <c r="D147" s="19"/>
    </row>
    <row r="148" spans="3:4" x14ac:dyDescent="0.2">
      <c r="C148" s="19"/>
      <c r="D148" s="19"/>
    </row>
    <row r="149" spans="3:4" x14ac:dyDescent="0.2">
      <c r="C149" s="19"/>
      <c r="D149" s="19"/>
    </row>
    <row r="150" spans="3:4" x14ac:dyDescent="0.2">
      <c r="C150" s="19"/>
      <c r="D150" s="19"/>
    </row>
    <row r="151" spans="3:4" x14ac:dyDescent="0.2">
      <c r="C151" s="19"/>
      <c r="D151" s="19"/>
    </row>
    <row r="152" spans="3:4" x14ac:dyDescent="0.2">
      <c r="C152" s="19"/>
      <c r="D152" s="19"/>
    </row>
    <row r="153" spans="3:4" x14ac:dyDescent="0.2">
      <c r="C153" s="19"/>
      <c r="D153" s="19"/>
    </row>
    <row r="154" spans="3:4" x14ac:dyDescent="0.2">
      <c r="C154" s="19"/>
      <c r="D154" s="19"/>
    </row>
    <row r="155" spans="3:4" x14ac:dyDescent="0.2">
      <c r="C155" s="19"/>
      <c r="D155" s="19"/>
    </row>
    <row r="156" spans="3:4" x14ac:dyDescent="0.2">
      <c r="C156" s="19"/>
      <c r="D156" s="19"/>
    </row>
    <row r="157" spans="3:4" x14ac:dyDescent="0.2">
      <c r="C157" s="19"/>
      <c r="D157" s="19"/>
    </row>
    <row r="158" spans="3:4" x14ac:dyDescent="0.2">
      <c r="C158" s="19"/>
      <c r="D158" s="19"/>
    </row>
    <row r="159" spans="3:4" x14ac:dyDescent="0.2">
      <c r="C159" s="19"/>
      <c r="D159" s="19"/>
    </row>
    <row r="160" spans="3:4" x14ac:dyDescent="0.2">
      <c r="C160" s="19"/>
      <c r="D160" s="19"/>
    </row>
    <row r="161" spans="3:4" x14ac:dyDescent="0.2">
      <c r="C161" s="19"/>
      <c r="D161" s="19"/>
    </row>
    <row r="162" spans="3:4" x14ac:dyDescent="0.2">
      <c r="C162" s="19"/>
      <c r="D162" s="19"/>
    </row>
    <row r="163" spans="3:4" x14ac:dyDescent="0.2">
      <c r="C163" s="19"/>
      <c r="D163" s="19"/>
    </row>
    <row r="164" spans="3:4" x14ac:dyDescent="0.2">
      <c r="C164" s="19"/>
      <c r="D164" s="19"/>
    </row>
    <row r="165" spans="3:4" x14ac:dyDescent="0.2">
      <c r="C165" s="19"/>
      <c r="D165" s="19"/>
    </row>
    <row r="166" spans="3:4" x14ac:dyDescent="0.2">
      <c r="C166" s="19"/>
      <c r="D166" s="19"/>
    </row>
    <row r="167" spans="3:4" x14ac:dyDescent="0.2">
      <c r="C167" s="19"/>
      <c r="D167" s="19"/>
    </row>
    <row r="168" spans="3:4" x14ac:dyDescent="0.2">
      <c r="C168" s="19"/>
      <c r="D168" s="19"/>
    </row>
    <row r="169" spans="3:4" x14ac:dyDescent="0.2">
      <c r="C169" s="19"/>
      <c r="D169" s="19"/>
    </row>
    <row r="170" spans="3:4" x14ac:dyDescent="0.2">
      <c r="C170" s="19"/>
      <c r="D170" s="19"/>
    </row>
    <row r="171" spans="3:4" x14ac:dyDescent="0.2">
      <c r="C171" s="19"/>
      <c r="D171" s="19"/>
    </row>
    <row r="172" spans="3:4" x14ac:dyDescent="0.2">
      <c r="C172" s="19"/>
      <c r="D172" s="19"/>
    </row>
    <row r="173" spans="3:4" x14ac:dyDescent="0.2">
      <c r="C173" s="19"/>
      <c r="D173" s="19"/>
    </row>
    <row r="174" spans="3:4" x14ac:dyDescent="0.2">
      <c r="C174" s="19"/>
      <c r="D174" s="19"/>
    </row>
    <row r="175" spans="3:4" x14ac:dyDescent="0.2">
      <c r="C175" s="19"/>
      <c r="D175" s="19"/>
    </row>
    <row r="176" spans="3:4" x14ac:dyDescent="0.2">
      <c r="C176" s="19"/>
      <c r="D176" s="19"/>
    </row>
    <row r="177" spans="3:4" x14ac:dyDescent="0.2">
      <c r="C177" s="19"/>
      <c r="D177" s="19"/>
    </row>
    <row r="178" spans="3:4" x14ac:dyDescent="0.2">
      <c r="C178" s="19"/>
      <c r="D178" s="19"/>
    </row>
    <row r="179" spans="3:4" x14ac:dyDescent="0.2">
      <c r="C179" s="19"/>
      <c r="D179" s="19"/>
    </row>
    <row r="180" spans="3:4" x14ac:dyDescent="0.2">
      <c r="C180" s="19"/>
      <c r="D180" s="19"/>
    </row>
    <row r="181" spans="3:4" x14ac:dyDescent="0.2">
      <c r="C181" s="19"/>
      <c r="D181" s="19"/>
    </row>
    <row r="182" spans="3:4" x14ac:dyDescent="0.2">
      <c r="C182" s="19"/>
      <c r="D182" s="19"/>
    </row>
    <row r="183" spans="3:4" x14ac:dyDescent="0.2">
      <c r="C183" s="19"/>
      <c r="D183" s="19"/>
    </row>
    <row r="184" spans="3:4" x14ac:dyDescent="0.2">
      <c r="C184" s="19"/>
      <c r="D184" s="19"/>
    </row>
    <row r="185" spans="3:4" x14ac:dyDescent="0.2">
      <c r="C185" s="19"/>
      <c r="D185" s="19"/>
    </row>
    <row r="186" spans="3:4" x14ac:dyDescent="0.2">
      <c r="C186" s="19"/>
      <c r="D186" s="19"/>
    </row>
    <row r="187" spans="3:4" x14ac:dyDescent="0.2">
      <c r="C187" s="19"/>
      <c r="D187" s="19"/>
    </row>
    <row r="188" spans="3:4" x14ac:dyDescent="0.2">
      <c r="C188" s="19"/>
      <c r="D188" s="19"/>
    </row>
    <row r="189" spans="3:4" x14ac:dyDescent="0.2">
      <c r="C189" s="19"/>
      <c r="D189" s="19"/>
    </row>
    <row r="190" spans="3:4" x14ac:dyDescent="0.2">
      <c r="C190" s="19"/>
      <c r="D190" s="19"/>
    </row>
    <row r="191" spans="3:4" x14ac:dyDescent="0.2">
      <c r="C191" s="19"/>
      <c r="D191" s="19"/>
    </row>
    <row r="192" spans="3:4" x14ac:dyDescent="0.2">
      <c r="C192" s="19"/>
      <c r="D192" s="19"/>
    </row>
    <row r="193" spans="3:4" x14ac:dyDescent="0.2">
      <c r="C193" s="19"/>
      <c r="D193" s="19"/>
    </row>
    <row r="194" spans="3:4" x14ac:dyDescent="0.2">
      <c r="C194" s="19"/>
      <c r="D194" s="19"/>
    </row>
    <row r="195" spans="3:4" x14ac:dyDescent="0.2">
      <c r="C195" s="19"/>
      <c r="D195" s="19"/>
    </row>
    <row r="196" spans="3:4" x14ac:dyDescent="0.2">
      <c r="C196" s="19"/>
      <c r="D196" s="19"/>
    </row>
    <row r="197" spans="3:4" x14ac:dyDescent="0.2">
      <c r="C197" s="19"/>
      <c r="D197" s="19"/>
    </row>
    <row r="198" spans="3:4" x14ac:dyDescent="0.2">
      <c r="C198" s="19"/>
      <c r="D198" s="19"/>
    </row>
    <row r="199" spans="3:4" x14ac:dyDescent="0.2">
      <c r="C199" s="19"/>
      <c r="D199" s="19"/>
    </row>
    <row r="200" spans="3:4" x14ac:dyDescent="0.2">
      <c r="C200" s="19"/>
      <c r="D200" s="19"/>
    </row>
    <row r="201" spans="3:4" x14ac:dyDescent="0.2">
      <c r="C201" s="19"/>
      <c r="D201" s="19"/>
    </row>
    <row r="202" spans="3:4" x14ac:dyDescent="0.2">
      <c r="C202" s="19"/>
      <c r="D202" s="19"/>
    </row>
    <row r="203" spans="3:4" x14ac:dyDescent="0.2">
      <c r="C203" s="19"/>
      <c r="D203" s="19"/>
    </row>
    <row r="204" spans="3:4" x14ac:dyDescent="0.2">
      <c r="C204" s="19"/>
      <c r="D204" s="19"/>
    </row>
    <row r="205" spans="3:4" x14ac:dyDescent="0.2">
      <c r="C205" s="19"/>
      <c r="D205" s="19"/>
    </row>
    <row r="206" spans="3:4" x14ac:dyDescent="0.2">
      <c r="C206" s="19"/>
      <c r="D206" s="19"/>
    </row>
    <row r="207" spans="3:4" x14ac:dyDescent="0.2">
      <c r="C207" s="19"/>
      <c r="D207" s="19"/>
    </row>
    <row r="208" spans="3:4" x14ac:dyDescent="0.2">
      <c r="C208" s="19"/>
      <c r="D208" s="19"/>
    </row>
    <row r="209" spans="3:4" x14ac:dyDescent="0.2">
      <c r="C209" s="19"/>
      <c r="D209" s="19"/>
    </row>
    <row r="210" spans="3:4" x14ac:dyDescent="0.2">
      <c r="C210" s="19"/>
      <c r="D210" s="19"/>
    </row>
    <row r="211" spans="3:4" x14ac:dyDescent="0.2">
      <c r="C211" s="19"/>
      <c r="D211" s="19"/>
    </row>
    <row r="212" spans="3:4" x14ac:dyDescent="0.2">
      <c r="C212" s="19"/>
      <c r="D212" s="19"/>
    </row>
    <row r="213" spans="3:4" x14ac:dyDescent="0.2">
      <c r="C213" s="19"/>
      <c r="D213" s="19"/>
    </row>
    <row r="214" spans="3:4" x14ac:dyDescent="0.2">
      <c r="C214" s="19"/>
      <c r="D214" s="19"/>
    </row>
    <row r="215" spans="3:4" x14ac:dyDescent="0.2">
      <c r="C215" s="19"/>
      <c r="D215" s="19"/>
    </row>
    <row r="216" spans="3:4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24" workbookViewId="0">
      <selection activeCell="A22" sqref="A22:C65"/>
    </sheetView>
  </sheetViews>
  <sheetFormatPr defaultRowHeight="12.75" x14ac:dyDescent="0.2"/>
  <cols>
    <col min="1" max="1" width="19.7109375" style="25" customWidth="1"/>
    <col min="2" max="2" width="4.42578125" style="17" customWidth="1"/>
    <col min="3" max="3" width="12.7109375" style="2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2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24" t="s">
        <v>54</v>
      </c>
      <c r="I1" s="26" t="s">
        <v>55</v>
      </c>
      <c r="J1" s="27" t="s">
        <v>56</v>
      </c>
    </row>
    <row r="2" spans="1:16" x14ac:dyDescent="0.2">
      <c r="I2" s="28" t="s">
        <v>57</v>
      </c>
      <c r="J2" s="29" t="s">
        <v>58</v>
      </c>
    </row>
    <row r="3" spans="1:16" x14ac:dyDescent="0.2">
      <c r="A3" s="30" t="s">
        <v>59</v>
      </c>
      <c r="I3" s="28" t="s">
        <v>60</v>
      </c>
      <c r="J3" s="29" t="s">
        <v>61</v>
      </c>
    </row>
    <row r="4" spans="1:16" x14ac:dyDescent="0.2">
      <c r="I4" s="28" t="s">
        <v>62</v>
      </c>
      <c r="J4" s="29" t="s">
        <v>61</v>
      </c>
    </row>
    <row r="5" spans="1:16" ht="13.5" thickBot="1" x14ac:dyDescent="0.25">
      <c r="I5" s="31" t="s">
        <v>63</v>
      </c>
      <c r="J5" s="32" t="s">
        <v>64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BBS 105 </v>
      </c>
      <c r="B11" s="6" t="str">
        <f t="shared" ref="B11:B42" si="1">IF(H11=INT(H11),"I","II")</f>
        <v>I</v>
      </c>
      <c r="C11" s="25">
        <f t="shared" ref="C11:C42" si="2">1*G11</f>
        <v>48475.472999999998</v>
      </c>
      <c r="D11" s="17" t="str">
        <f t="shared" ref="D11:D42" si="3">VLOOKUP(F11,I$1:J$5,2,FALSE)</f>
        <v>vis</v>
      </c>
      <c r="E11" s="33">
        <f>VLOOKUP(C11,Active!C$21:E$970,3,FALSE)</f>
        <v>17423.894159005344</v>
      </c>
      <c r="F11" s="6" t="s">
        <v>63</v>
      </c>
      <c r="G11" s="17" t="str">
        <f t="shared" ref="G11:G42" si="4">MID(I11,3,LEN(I11)-3)</f>
        <v>48475.473</v>
      </c>
      <c r="H11" s="25">
        <f t="shared" ref="H11:H42" si="5">1*K11</f>
        <v>17424</v>
      </c>
      <c r="I11" s="34" t="s">
        <v>176</v>
      </c>
      <c r="J11" s="35" t="s">
        <v>177</v>
      </c>
      <c r="K11" s="34">
        <v>17424</v>
      </c>
      <c r="L11" s="34" t="s">
        <v>178</v>
      </c>
      <c r="M11" s="35" t="s">
        <v>173</v>
      </c>
      <c r="N11" s="35"/>
      <c r="O11" s="36" t="s">
        <v>179</v>
      </c>
      <c r="P11" s="36" t="s">
        <v>180</v>
      </c>
    </row>
    <row r="12" spans="1:16" ht="12.75" customHeight="1" thickBot="1" x14ac:dyDescent="0.25">
      <c r="A12" s="25" t="str">
        <f t="shared" si="0"/>
        <v> BBS 105 </v>
      </c>
      <c r="B12" s="6" t="str">
        <f t="shared" si="1"/>
        <v>I</v>
      </c>
      <c r="C12" s="25">
        <f t="shared" si="2"/>
        <v>48499.440999999999</v>
      </c>
      <c r="D12" s="17" t="str">
        <f t="shared" si="3"/>
        <v>vis</v>
      </c>
      <c r="E12" s="33">
        <f>VLOOKUP(C12,Active!C$21:E$970,3,FALSE)</f>
        <v>17454.851486458025</v>
      </c>
      <c r="F12" s="6" t="s">
        <v>63</v>
      </c>
      <c r="G12" s="17" t="str">
        <f t="shared" si="4"/>
        <v>48499.441</v>
      </c>
      <c r="H12" s="25">
        <f t="shared" si="5"/>
        <v>17455</v>
      </c>
      <c r="I12" s="34" t="s">
        <v>181</v>
      </c>
      <c r="J12" s="35" t="s">
        <v>182</v>
      </c>
      <c r="K12" s="34">
        <v>17455</v>
      </c>
      <c r="L12" s="34" t="s">
        <v>183</v>
      </c>
      <c r="M12" s="35" t="s">
        <v>173</v>
      </c>
      <c r="N12" s="35"/>
      <c r="O12" s="36" t="s">
        <v>184</v>
      </c>
      <c r="P12" s="36" t="s">
        <v>180</v>
      </c>
    </row>
    <row r="13" spans="1:16" ht="12.75" customHeight="1" thickBot="1" x14ac:dyDescent="0.25">
      <c r="A13" s="25" t="str">
        <f t="shared" si="0"/>
        <v> BBS 105 </v>
      </c>
      <c r="B13" s="6" t="str">
        <f t="shared" si="1"/>
        <v>I</v>
      </c>
      <c r="C13" s="25">
        <f t="shared" si="2"/>
        <v>49212.500999999997</v>
      </c>
      <c r="D13" s="17" t="str">
        <f t="shared" si="3"/>
        <v>vis</v>
      </c>
      <c r="E13" s="33">
        <f>VLOOKUP(C13,Active!C$21:E$970,3,FALSE)</f>
        <v>18375.847477504783</v>
      </c>
      <c r="F13" s="6" t="s">
        <v>63</v>
      </c>
      <c r="G13" s="17" t="str">
        <f t="shared" si="4"/>
        <v>49212.501</v>
      </c>
      <c r="H13" s="25">
        <f t="shared" si="5"/>
        <v>18376</v>
      </c>
      <c r="I13" s="34" t="s">
        <v>185</v>
      </c>
      <c r="J13" s="35" t="s">
        <v>186</v>
      </c>
      <c r="K13" s="34">
        <v>18376</v>
      </c>
      <c r="L13" s="34" t="s">
        <v>187</v>
      </c>
      <c r="M13" s="35" t="s">
        <v>173</v>
      </c>
      <c r="N13" s="35"/>
      <c r="O13" s="36" t="s">
        <v>179</v>
      </c>
      <c r="P13" s="36" t="s">
        <v>180</v>
      </c>
    </row>
    <row r="14" spans="1:16" ht="12.75" customHeight="1" thickBot="1" x14ac:dyDescent="0.25">
      <c r="A14" s="25" t="str">
        <f t="shared" si="0"/>
        <v> BBS 108 </v>
      </c>
      <c r="B14" s="6" t="str">
        <f t="shared" si="1"/>
        <v>II</v>
      </c>
      <c r="C14" s="25">
        <f t="shared" si="2"/>
        <v>49546.58</v>
      </c>
      <c r="D14" s="17" t="str">
        <f t="shared" si="3"/>
        <v>vis</v>
      </c>
      <c r="E14" s="33">
        <f>VLOOKUP(C14,Active!C$21:E$970,3,FALSE)</f>
        <v>18807.347519146322</v>
      </c>
      <c r="F14" s="6" t="s">
        <v>63</v>
      </c>
      <c r="G14" s="17" t="str">
        <f t="shared" si="4"/>
        <v>49546.580</v>
      </c>
      <c r="H14" s="25">
        <f t="shared" si="5"/>
        <v>18807.5</v>
      </c>
      <c r="I14" s="34" t="s">
        <v>188</v>
      </c>
      <c r="J14" s="35" t="s">
        <v>189</v>
      </c>
      <c r="K14" s="34">
        <v>18807.5</v>
      </c>
      <c r="L14" s="34" t="s">
        <v>187</v>
      </c>
      <c r="M14" s="35" t="s">
        <v>173</v>
      </c>
      <c r="N14" s="35"/>
      <c r="O14" s="36" t="s">
        <v>179</v>
      </c>
      <c r="P14" s="36" t="s">
        <v>190</v>
      </c>
    </row>
    <row r="15" spans="1:16" ht="12.75" customHeight="1" thickBot="1" x14ac:dyDescent="0.25">
      <c r="A15" s="25" t="str">
        <f t="shared" si="0"/>
        <v> BBS 108 </v>
      </c>
      <c r="B15" s="6" t="str">
        <f t="shared" si="1"/>
        <v>I</v>
      </c>
      <c r="C15" s="25">
        <f t="shared" si="2"/>
        <v>49579.491999999998</v>
      </c>
      <c r="D15" s="17" t="str">
        <f t="shared" si="3"/>
        <v>vis</v>
      </c>
      <c r="E15" s="33">
        <f>VLOOKUP(C15,Active!C$21:E$970,3,FALSE)</f>
        <v>18849.857013518922</v>
      </c>
      <c r="F15" s="6" t="s">
        <v>63</v>
      </c>
      <c r="G15" s="17" t="str">
        <f t="shared" si="4"/>
        <v>49579.492</v>
      </c>
      <c r="H15" s="25">
        <f t="shared" si="5"/>
        <v>18850</v>
      </c>
      <c r="I15" s="34" t="s">
        <v>191</v>
      </c>
      <c r="J15" s="35" t="s">
        <v>192</v>
      </c>
      <c r="K15" s="34">
        <v>18850</v>
      </c>
      <c r="L15" s="34" t="s">
        <v>193</v>
      </c>
      <c r="M15" s="35" t="s">
        <v>173</v>
      </c>
      <c r="N15" s="35"/>
      <c r="O15" s="36" t="s">
        <v>179</v>
      </c>
      <c r="P15" s="36" t="s">
        <v>190</v>
      </c>
    </row>
    <row r="16" spans="1:16" ht="12.75" customHeight="1" thickBot="1" x14ac:dyDescent="0.25">
      <c r="A16" s="25" t="str">
        <f t="shared" si="0"/>
        <v> BBS 111 </v>
      </c>
      <c r="B16" s="6" t="str">
        <f t="shared" si="1"/>
        <v>II</v>
      </c>
      <c r="C16" s="25">
        <f t="shared" si="2"/>
        <v>49961.489000000001</v>
      </c>
      <c r="D16" s="17" t="str">
        <f t="shared" si="3"/>
        <v>vis</v>
      </c>
      <c r="E16" s="33">
        <f>VLOOKUP(C16,Active!C$21:E$970,3,FALSE)</f>
        <v>19343.248461071573</v>
      </c>
      <c r="F16" s="6" t="s">
        <v>63</v>
      </c>
      <c r="G16" s="17" t="str">
        <f t="shared" si="4"/>
        <v>49961.489</v>
      </c>
      <c r="H16" s="25">
        <f t="shared" si="5"/>
        <v>19343.5</v>
      </c>
      <c r="I16" s="34" t="s">
        <v>194</v>
      </c>
      <c r="J16" s="35" t="s">
        <v>195</v>
      </c>
      <c r="K16" s="34">
        <v>19343.5</v>
      </c>
      <c r="L16" s="34" t="s">
        <v>196</v>
      </c>
      <c r="M16" s="35" t="s">
        <v>173</v>
      </c>
      <c r="N16" s="35"/>
      <c r="O16" s="36" t="s">
        <v>179</v>
      </c>
      <c r="P16" s="36" t="s">
        <v>197</v>
      </c>
    </row>
    <row r="17" spans="1:16" ht="12.75" customHeight="1" thickBot="1" x14ac:dyDescent="0.25">
      <c r="A17" s="25" t="str">
        <f t="shared" si="0"/>
        <v>IBVS 6006 </v>
      </c>
      <c r="B17" s="6" t="str">
        <f t="shared" si="1"/>
        <v>I</v>
      </c>
      <c r="C17" s="25">
        <f t="shared" si="2"/>
        <v>51430.4182</v>
      </c>
      <c r="D17" s="17" t="str">
        <f t="shared" si="3"/>
        <v>vis</v>
      </c>
      <c r="E17" s="33">
        <f>VLOOKUP(C17,Active!C$21:E$970,3,FALSE)</f>
        <v>21240.533267864164</v>
      </c>
      <c r="F17" s="6" t="s">
        <v>63</v>
      </c>
      <c r="G17" s="17" t="str">
        <f t="shared" si="4"/>
        <v>51430.4182</v>
      </c>
      <c r="H17" s="25">
        <f t="shared" si="5"/>
        <v>21241</v>
      </c>
      <c r="I17" s="34" t="s">
        <v>201</v>
      </c>
      <c r="J17" s="35" t="s">
        <v>202</v>
      </c>
      <c r="K17" s="34">
        <v>21241</v>
      </c>
      <c r="L17" s="34" t="s">
        <v>203</v>
      </c>
      <c r="M17" s="35" t="s">
        <v>204</v>
      </c>
      <c r="N17" s="35" t="s">
        <v>63</v>
      </c>
      <c r="O17" s="36" t="s">
        <v>205</v>
      </c>
      <c r="P17" s="37" t="s">
        <v>206</v>
      </c>
    </row>
    <row r="18" spans="1:16" ht="12.75" customHeight="1" thickBot="1" x14ac:dyDescent="0.25">
      <c r="A18" s="25" t="str">
        <f t="shared" si="0"/>
        <v>IBVS 5378 </v>
      </c>
      <c r="B18" s="6" t="str">
        <f t="shared" si="1"/>
        <v>I</v>
      </c>
      <c r="C18" s="25">
        <f t="shared" si="2"/>
        <v>52580.523099999999</v>
      </c>
      <c r="D18" s="17" t="str">
        <f t="shared" si="3"/>
        <v>vis</v>
      </c>
      <c r="E18" s="33">
        <f>VLOOKUP(C18,Active!C$21:E$970,3,FALSE)</f>
        <v>22726.021168157593</v>
      </c>
      <c r="F18" s="6" t="s">
        <v>63</v>
      </c>
      <c r="G18" s="17" t="str">
        <f t="shared" si="4"/>
        <v>52580.5231</v>
      </c>
      <c r="H18" s="25">
        <f t="shared" si="5"/>
        <v>22726</v>
      </c>
      <c r="I18" s="34" t="s">
        <v>207</v>
      </c>
      <c r="J18" s="35" t="s">
        <v>208</v>
      </c>
      <c r="K18" s="34">
        <v>22726</v>
      </c>
      <c r="L18" s="34" t="s">
        <v>209</v>
      </c>
      <c r="M18" s="35" t="s">
        <v>210</v>
      </c>
      <c r="N18" s="35" t="s">
        <v>211</v>
      </c>
      <c r="O18" s="36" t="s">
        <v>212</v>
      </c>
      <c r="P18" s="37" t="s">
        <v>213</v>
      </c>
    </row>
    <row r="19" spans="1:16" ht="12.75" customHeight="1" thickBot="1" x14ac:dyDescent="0.25">
      <c r="A19" s="25" t="str">
        <f t="shared" si="0"/>
        <v>BAVM 178 </v>
      </c>
      <c r="B19" s="6" t="str">
        <f t="shared" si="1"/>
        <v>I</v>
      </c>
      <c r="C19" s="25">
        <f t="shared" si="2"/>
        <v>53544.4447</v>
      </c>
      <c r="D19" s="17" t="str">
        <f t="shared" si="3"/>
        <v>vis</v>
      </c>
      <c r="E19" s="33">
        <f>VLOOKUP(C19,Active!C$21:E$970,3,FALSE)</f>
        <v>23971.032708958341</v>
      </c>
      <c r="F19" s="6" t="s">
        <v>63</v>
      </c>
      <c r="G19" s="17" t="str">
        <f t="shared" si="4"/>
        <v>53544.4447</v>
      </c>
      <c r="H19" s="25">
        <f t="shared" si="5"/>
        <v>23971</v>
      </c>
      <c r="I19" s="34" t="s">
        <v>214</v>
      </c>
      <c r="J19" s="35" t="s">
        <v>215</v>
      </c>
      <c r="K19" s="34">
        <v>23971</v>
      </c>
      <c r="L19" s="34" t="s">
        <v>216</v>
      </c>
      <c r="M19" s="35" t="s">
        <v>204</v>
      </c>
      <c r="N19" s="35" t="s">
        <v>217</v>
      </c>
      <c r="O19" s="36" t="s">
        <v>218</v>
      </c>
      <c r="P19" s="37" t="s">
        <v>219</v>
      </c>
    </row>
    <row r="20" spans="1:16" ht="12.75" customHeight="1" thickBot="1" x14ac:dyDescent="0.25">
      <c r="A20" s="25" t="str">
        <f t="shared" si="0"/>
        <v>BAVM 178 </v>
      </c>
      <c r="B20" s="6" t="str">
        <f t="shared" si="1"/>
        <v>I</v>
      </c>
      <c r="C20" s="25">
        <f t="shared" si="2"/>
        <v>53614.514900000002</v>
      </c>
      <c r="D20" s="17" t="str">
        <f t="shared" si="3"/>
        <v>vis</v>
      </c>
      <c r="E20" s="33">
        <f>VLOOKUP(C20,Active!C$21:E$970,3,FALSE)</f>
        <v>24061.536135446782</v>
      </c>
      <c r="F20" s="6" t="s">
        <v>63</v>
      </c>
      <c r="G20" s="17" t="str">
        <f t="shared" si="4"/>
        <v>53614.5149</v>
      </c>
      <c r="H20" s="25">
        <f t="shared" si="5"/>
        <v>24062</v>
      </c>
      <c r="I20" s="34" t="s">
        <v>220</v>
      </c>
      <c r="J20" s="35" t="s">
        <v>221</v>
      </c>
      <c r="K20" s="34" t="s">
        <v>222</v>
      </c>
      <c r="L20" s="34" t="s">
        <v>223</v>
      </c>
      <c r="M20" s="35" t="s">
        <v>204</v>
      </c>
      <c r="N20" s="35" t="s">
        <v>217</v>
      </c>
      <c r="O20" s="36" t="s">
        <v>218</v>
      </c>
      <c r="P20" s="37" t="s">
        <v>219</v>
      </c>
    </row>
    <row r="21" spans="1:16" ht="12.75" customHeight="1" thickBot="1" x14ac:dyDescent="0.25">
      <c r="A21" s="25" t="str">
        <f t="shared" si="0"/>
        <v>BAVM 178 </v>
      </c>
      <c r="B21" s="6" t="str">
        <f t="shared" si="1"/>
        <v>I</v>
      </c>
      <c r="C21" s="25">
        <f t="shared" si="2"/>
        <v>53899.427799999998</v>
      </c>
      <c r="D21" s="17" t="str">
        <f t="shared" si="3"/>
        <v>vis</v>
      </c>
      <c r="E21" s="33">
        <f>VLOOKUP(C21,Active!C$21:E$970,3,FALSE)</f>
        <v>24429.532711748219</v>
      </c>
      <c r="F21" s="6" t="s">
        <v>63</v>
      </c>
      <c r="G21" s="17" t="str">
        <f t="shared" si="4"/>
        <v>53899.4278</v>
      </c>
      <c r="H21" s="25">
        <f t="shared" si="5"/>
        <v>24430</v>
      </c>
      <c r="I21" s="34" t="s">
        <v>224</v>
      </c>
      <c r="J21" s="35" t="s">
        <v>225</v>
      </c>
      <c r="K21" s="34" t="s">
        <v>226</v>
      </c>
      <c r="L21" s="34" t="s">
        <v>227</v>
      </c>
      <c r="M21" s="35" t="s">
        <v>204</v>
      </c>
      <c r="N21" s="35" t="s">
        <v>217</v>
      </c>
      <c r="O21" s="36" t="s">
        <v>218</v>
      </c>
      <c r="P21" s="37" t="s">
        <v>219</v>
      </c>
    </row>
    <row r="22" spans="1:16" ht="12.75" customHeight="1" thickBot="1" x14ac:dyDescent="0.25">
      <c r="A22" s="25" t="str">
        <f t="shared" si="0"/>
        <v> AHSB 6.3.58 </v>
      </c>
      <c r="B22" s="6" t="str">
        <f t="shared" si="1"/>
        <v>I</v>
      </c>
      <c r="C22" s="25">
        <f t="shared" si="2"/>
        <v>32763.404999999999</v>
      </c>
      <c r="D22" s="17" t="str">
        <f t="shared" si="3"/>
        <v>vis</v>
      </c>
      <c r="E22" s="33">
        <f>VLOOKUP(C22,Active!C$21:E$970,3,FALSE)</f>
        <v>-2869.9824278935075</v>
      </c>
      <c r="F22" s="6" t="s">
        <v>63</v>
      </c>
      <c r="G22" s="17" t="str">
        <f t="shared" si="4"/>
        <v>32763.405</v>
      </c>
      <c r="H22" s="25">
        <f t="shared" si="5"/>
        <v>-2870</v>
      </c>
      <c r="I22" s="34" t="s">
        <v>66</v>
      </c>
      <c r="J22" s="35" t="s">
        <v>67</v>
      </c>
      <c r="K22" s="34">
        <v>-2870</v>
      </c>
      <c r="L22" s="34" t="s">
        <v>68</v>
      </c>
      <c r="M22" s="35" t="s">
        <v>69</v>
      </c>
      <c r="N22" s="35"/>
      <c r="O22" s="36" t="s">
        <v>70</v>
      </c>
      <c r="P22" s="36" t="s">
        <v>71</v>
      </c>
    </row>
    <row r="23" spans="1:16" ht="12.75" customHeight="1" thickBot="1" x14ac:dyDescent="0.25">
      <c r="A23" s="25" t="str">
        <f t="shared" si="0"/>
        <v> AHSB 6.3.58 </v>
      </c>
      <c r="B23" s="6" t="str">
        <f t="shared" si="1"/>
        <v>II</v>
      </c>
      <c r="C23" s="25">
        <f t="shared" si="2"/>
        <v>32764.535</v>
      </c>
      <c r="D23" s="17" t="str">
        <f t="shared" si="3"/>
        <v>vis</v>
      </c>
      <c r="E23" s="33">
        <f>VLOOKUP(C23,Active!C$21:E$970,3,FALSE)</f>
        <v>-2868.5229076990163</v>
      </c>
      <c r="F23" s="6" t="s">
        <v>63</v>
      </c>
      <c r="G23" s="17" t="str">
        <f t="shared" si="4"/>
        <v>32764.535</v>
      </c>
      <c r="H23" s="25">
        <f t="shared" si="5"/>
        <v>-2868.5</v>
      </c>
      <c r="I23" s="34" t="s">
        <v>72</v>
      </c>
      <c r="J23" s="35" t="s">
        <v>73</v>
      </c>
      <c r="K23" s="34">
        <v>-2868.5</v>
      </c>
      <c r="L23" s="34" t="s">
        <v>74</v>
      </c>
      <c r="M23" s="35" t="s">
        <v>69</v>
      </c>
      <c r="N23" s="35"/>
      <c r="O23" s="36" t="s">
        <v>70</v>
      </c>
      <c r="P23" s="36" t="s">
        <v>71</v>
      </c>
    </row>
    <row r="24" spans="1:16" ht="12.75" customHeight="1" thickBot="1" x14ac:dyDescent="0.25">
      <c r="A24" s="25" t="str">
        <f t="shared" si="0"/>
        <v> AHSB 6.3.58 </v>
      </c>
      <c r="B24" s="6" t="str">
        <f t="shared" si="1"/>
        <v>II</v>
      </c>
      <c r="C24" s="25">
        <f t="shared" si="2"/>
        <v>32792.406999999999</v>
      </c>
      <c r="D24" s="17" t="str">
        <f t="shared" si="3"/>
        <v>vis</v>
      </c>
      <c r="E24" s="33">
        <f>VLOOKUP(C24,Active!C$21:E$970,3,FALSE)</f>
        <v>-2832.5231317159928</v>
      </c>
      <c r="F24" s="6" t="s">
        <v>63</v>
      </c>
      <c r="G24" s="17" t="str">
        <f t="shared" si="4"/>
        <v>32792.407</v>
      </c>
      <c r="H24" s="25">
        <f t="shared" si="5"/>
        <v>-2832.5</v>
      </c>
      <c r="I24" s="34" t="s">
        <v>75</v>
      </c>
      <c r="J24" s="35" t="s">
        <v>76</v>
      </c>
      <c r="K24" s="34">
        <v>-2832.5</v>
      </c>
      <c r="L24" s="34" t="s">
        <v>74</v>
      </c>
      <c r="M24" s="35" t="s">
        <v>69</v>
      </c>
      <c r="N24" s="35"/>
      <c r="O24" s="36" t="s">
        <v>70</v>
      </c>
      <c r="P24" s="36" t="s">
        <v>71</v>
      </c>
    </row>
    <row r="25" spans="1:16" ht="12.75" customHeight="1" thickBot="1" x14ac:dyDescent="0.25">
      <c r="A25" s="25" t="str">
        <f t="shared" si="0"/>
        <v> AHSB 6.3.58 </v>
      </c>
      <c r="B25" s="6" t="str">
        <f t="shared" si="1"/>
        <v>I</v>
      </c>
      <c r="C25" s="25">
        <f t="shared" si="2"/>
        <v>32794.362999999998</v>
      </c>
      <c r="D25" s="17" t="str">
        <f t="shared" si="3"/>
        <v>vis</v>
      </c>
      <c r="E25" s="33">
        <f>VLOOKUP(C25,Active!C$21:E$970,3,FALSE)</f>
        <v>-2829.996741007657</v>
      </c>
      <c r="F25" s="6" t="s">
        <v>63</v>
      </c>
      <c r="G25" s="17" t="str">
        <f t="shared" si="4"/>
        <v>32794.363</v>
      </c>
      <c r="H25" s="25">
        <f t="shared" si="5"/>
        <v>-2830</v>
      </c>
      <c r="I25" s="34" t="s">
        <v>77</v>
      </c>
      <c r="J25" s="35" t="s">
        <v>78</v>
      </c>
      <c r="K25" s="34">
        <v>-2830</v>
      </c>
      <c r="L25" s="34" t="s">
        <v>79</v>
      </c>
      <c r="M25" s="35" t="s">
        <v>69</v>
      </c>
      <c r="N25" s="35"/>
      <c r="O25" s="36" t="s">
        <v>70</v>
      </c>
      <c r="P25" s="36" t="s">
        <v>71</v>
      </c>
    </row>
    <row r="26" spans="1:16" ht="12.75" customHeight="1" thickBot="1" x14ac:dyDescent="0.25">
      <c r="A26" s="25" t="str">
        <f t="shared" si="0"/>
        <v> AHSB 6.3.58 </v>
      </c>
      <c r="B26" s="6" t="str">
        <f t="shared" si="1"/>
        <v>I</v>
      </c>
      <c r="C26" s="25">
        <f t="shared" si="2"/>
        <v>33891.455999999998</v>
      </c>
      <c r="D26" s="17" t="str">
        <f t="shared" si="3"/>
        <v>vis</v>
      </c>
      <c r="E26" s="33">
        <f>VLOOKUP(C26,Active!C$21:E$970,3,FALSE)</f>
        <v>-1412.9795828365852</v>
      </c>
      <c r="F26" s="6" t="s">
        <v>63</v>
      </c>
      <c r="G26" s="17" t="str">
        <f t="shared" si="4"/>
        <v>33891.456</v>
      </c>
      <c r="H26" s="25">
        <f t="shared" si="5"/>
        <v>-1413</v>
      </c>
      <c r="I26" s="34" t="s">
        <v>80</v>
      </c>
      <c r="J26" s="35" t="s">
        <v>81</v>
      </c>
      <c r="K26" s="34">
        <v>-1413</v>
      </c>
      <c r="L26" s="34" t="s">
        <v>82</v>
      </c>
      <c r="M26" s="35" t="s">
        <v>69</v>
      </c>
      <c r="N26" s="35"/>
      <c r="O26" s="36" t="s">
        <v>70</v>
      </c>
      <c r="P26" s="36" t="s">
        <v>71</v>
      </c>
    </row>
    <row r="27" spans="1:16" ht="12.75" customHeight="1" thickBot="1" x14ac:dyDescent="0.25">
      <c r="A27" s="25" t="str">
        <f t="shared" si="0"/>
        <v> AHSB 6.3.58 </v>
      </c>
      <c r="B27" s="6" t="str">
        <f t="shared" si="1"/>
        <v>II</v>
      </c>
      <c r="C27" s="25">
        <f t="shared" si="2"/>
        <v>33893.364000000001</v>
      </c>
      <c r="D27" s="17" t="str">
        <f t="shared" si="3"/>
        <v>vis</v>
      </c>
      <c r="E27" s="33">
        <f>VLOOKUP(C27,Active!C$21:E$970,3,FALSE)</f>
        <v>-1410.5151894462394</v>
      </c>
      <c r="F27" s="6" t="s">
        <v>63</v>
      </c>
      <c r="G27" s="17" t="str">
        <f t="shared" si="4"/>
        <v>33893.364</v>
      </c>
      <c r="H27" s="25">
        <f t="shared" si="5"/>
        <v>-1410.5</v>
      </c>
      <c r="I27" s="34" t="s">
        <v>83</v>
      </c>
      <c r="J27" s="35" t="s">
        <v>84</v>
      </c>
      <c r="K27" s="34">
        <v>-1410.5</v>
      </c>
      <c r="L27" s="34" t="s">
        <v>85</v>
      </c>
      <c r="M27" s="35" t="s">
        <v>69</v>
      </c>
      <c r="N27" s="35"/>
      <c r="O27" s="36" t="s">
        <v>70</v>
      </c>
      <c r="P27" s="36" t="s">
        <v>71</v>
      </c>
    </row>
    <row r="28" spans="1:16" ht="12.75" customHeight="1" thickBot="1" x14ac:dyDescent="0.25">
      <c r="A28" s="25" t="str">
        <f t="shared" si="0"/>
        <v> AHSB 6.3.58 </v>
      </c>
      <c r="B28" s="6" t="str">
        <f t="shared" si="1"/>
        <v>I</v>
      </c>
      <c r="C28" s="25">
        <f t="shared" si="2"/>
        <v>33922.392</v>
      </c>
      <c r="D28" s="17" t="str">
        <f t="shared" si="3"/>
        <v>vis</v>
      </c>
      <c r="E28" s="33">
        <f>VLOOKUP(C28,Active!C$21:E$970,3,FALSE)</f>
        <v>-1373.0223113881461</v>
      </c>
      <c r="F28" s="6" t="s">
        <v>63</v>
      </c>
      <c r="G28" s="17" t="str">
        <f t="shared" si="4"/>
        <v>33922.392</v>
      </c>
      <c r="H28" s="25">
        <f t="shared" si="5"/>
        <v>-1373</v>
      </c>
      <c r="I28" s="34" t="s">
        <v>86</v>
      </c>
      <c r="J28" s="35" t="s">
        <v>87</v>
      </c>
      <c r="K28" s="34">
        <v>-1373</v>
      </c>
      <c r="L28" s="34" t="s">
        <v>88</v>
      </c>
      <c r="M28" s="35" t="s">
        <v>69</v>
      </c>
      <c r="N28" s="35"/>
      <c r="O28" s="36" t="s">
        <v>70</v>
      </c>
      <c r="P28" s="36" t="s">
        <v>71</v>
      </c>
    </row>
    <row r="29" spans="1:16" ht="12.75" customHeight="1" thickBot="1" x14ac:dyDescent="0.25">
      <c r="A29" s="25" t="str">
        <f t="shared" si="0"/>
        <v> AHSB 6.3.58 </v>
      </c>
      <c r="B29" s="6" t="str">
        <f t="shared" si="1"/>
        <v>I</v>
      </c>
      <c r="C29" s="25">
        <f t="shared" si="2"/>
        <v>33926.275000000001</v>
      </c>
      <c r="D29" s="17" t="str">
        <f t="shared" si="3"/>
        <v>vis</v>
      </c>
      <c r="E29" s="33">
        <f>VLOOKUP(C29,Active!C$21:E$970,3,FALSE)</f>
        <v>-1368.0069866844242</v>
      </c>
      <c r="F29" s="6" t="s">
        <v>63</v>
      </c>
      <c r="G29" s="17" t="str">
        <f t="shared" si="4"/>
        <v>33926.275</v>
      </c>
      <c r="H29" s="25">
        <f t="shared" si="5"/>
        <v>-1368</v>
      </c>
      <c r="I29" s="34" t="s">
        <v>89</v>
      </c>
      <c r="J29" s="35" t="s">
        <v>90</v>
      </c>
      <c r="K29" s="34">
        <v>-1368</v>
      </c>
      <c r="L29" s="34" t="s">
        <v>91</v>
      </c>
      <c r="M29" s="35" t="s">
        <v>69</v>
      </c>
      <c r="N29" s="35"/>
      <c r="O29" s="36" t="s">
        <v>70</v>
      </c>
      <c r="P29" s="36" t="s">
        <v>71</v>
      </c>
    </row>
    <row r="30" spans="1:16" ht="12.75" customHeight="1" thickBot="1" x14ac:dyDescent="0.25">
      <c r="A30" s="25" t="str">
        <f t="shared" si="0"/>
        <v> AHSB 6.3.58 </v>
      </c>
      <c r="B30" s="6" t="str">
        <f t="shared" si="1"/>
        <v>II</v>
      </c>
      <c r="C30" s="25">
        <f t="shared" si="2"/>
        <v>34122.553999999996</v>
      </c>
      <c r="D30" s="17" t="str">
        <f t="shared" si="3"/>
        <v>vis</v>
      </c>
      <c r="E30" s="33">
        <f>VLOOKUP(C30,Active!C$21:E$970,3,FALSE)</f>
        <v>-1114.4909121231494</v>
      </c>
      <c r="F30" s="6" t="s">
        <v>63</v>
      </c>
      <c r="G30" s="17" t="str">
        <f t="shared" si="4"/>
        <v>34122.554</v>
      </c>
      <c r="H30" s="25">
        <f t="shared" si="5"/>
        <v>-1114.5</v>
      </c>
      <c r="I30" s="34" t="s">
        <v>92</v>
      </c>
      <c r="J30" s="35" t="s">
        <v>93</v>
      </c>
      <c r="K30" s="34">
        <v>-1114.5</v>
      </c>
      <c r="L30" s="34" t="s">
        <v>94</v>
      </c>
      <c r="M30" s="35" t="s">
        <v>69</v>
      </c>
      <c r="N30" s="35"/>
      <c r="O30" s="36" t="s">
        <v>70</v>
      </c>
      <c r="P30" s="36" t="s">
        <v>71</v>
      </c>
    </row>
    <row r="31" spans="1:16" ht="12.75" customHeight="1" thickBot="1" x14ac:dyDescent="0.25">
      <c r="A31" s="25" t="str">
        <f t="shared" si="0"/>
        <v> AHSB 6.3.58 </v>
      </c>
      <c r="B31" s="6" t="str">
        <f t="shared" si="1"/>
        <v>II</v>
      </c>
      <c r="C31" s="25">
        <f t="shared" si="2"/>
        <v>34153.514999999999</v>
      </c>
      <c r="D31" s="17" t="str">
        <f t="shared" si="3"/>
        <v>vis</v>
      </c>
      <c r="E31" s="33">
        <f>VLOOKUP(C31,Active!C$21:E$970,3,FALSE)</f>
        <v>-1074.5013504049189</v>
      </c>
      <c r="F31" s="6" t="s">
        <v>63</v>
      </c>
      <c r="G31" s="17" t="str">
        <f t="shared" si="4"/>
        <v>34153.515</v>
      </c>
      <c r="H31" s="25">
        <f t="shared" si="5"/>
        <v>-1074.5</v>
      </c>
      <c r="I31" s="34" t="s">
        <v>95</v>
      </c>
      <c r="J31" s="35" t="s">
        <v>96</v>
      </c>
      <c r="K31" s="34">
        <v>-1074.5</v>
      </c>
      <c r="L31" s="34" t="s">
        <v>97</v>
      </c>
      <c r="M31" s="35" t="s">
        <v>69</v>
      </c>
      <c r="N31" s="35"/>
      <c r="O31" s="36" t="s">
        <v>70</v>
      </c>
      <c r="P31" s="36" t="s">
        <v>71</v>
      </c>
    </row>
    <row r="32" spans="1:16" ht="12.75" customHeight="1" thickBot="1" x14ac:dyDescent="0.25">
      <c r="A32" s="25" t="str">
        <f t="shared" si="0"/>
        <v> AHSB 6.3.58 </v>
      </c>
      <c r="B32" s="6" t="str">
        <f t="shared" si="1"/>
        <v>II</v>
      </c>
      <c r="C32" s="25">
        <f t="shared" si="2"/>
        <v>34225.500999999997</v>
      </c>
      <c r="D32" s="17" t="str">
        <f t="shared" si="3"/>
        <v>vis</v>
      </c>
      <c r="E32" s="33">
        <f>VLOOKUP(C32,Active!C$21:E$970,3,FALSE)</f>
        <v>-981.52345596196949</v>
      </c>
      <c r="F32" s="6" t="s">
        <v>63</v>
      </c>
      <c r="G32" s="17" t="str">
        <f t="shared" si="4"/>
        <v>34225.501</v>
      </c>
      <c r="H32" s="25">
        <f t="shared" si="5"/>
        <v>-981.5</v>
      </c>
      <c r="I32" s="34" t="s">
        <v>98</v>
      </c>
      <c r="J32" s="35" t="s">
        <v>99</v>
      </c>
      <c r="K32" s="34">
        <v>-981.5</v>
      </c>
      <c r="L32" s="34" t="s">
        <v>74</v>
      </c>
      <c r="M32" s="35" t="s">
        <v>69</v>
      </c>
      <c r="N32" s="35"/>
      <c r="O32" s="36" t="s">
        <v>70</v>
      </c>
      <c r="P32" s="36" t="s">
        <v>71</v>
      </c>
    </row>
    <row r="33" spans="1:16" ht="12.75" customHeight="1" thickBot="1" x14ac:dyDescent="0.25">
      <c r="A33" s="25" t="str">
        <f t="shared" si="0"/>
        <v> AHSB 6.3.58 </v>
      </c>
      <c r="B33" s="6" t="str">
        <f t="shared" si="1"/>
        <v>II</v>
      </c>
      <c r="C33" s="25">
        <f t="shared" si="2"/>
        <v>34239.427000000003</v>
      </c>
      <c r="D33" s="17" t="str">
        <f t="shared" si="3"/>
        <v>vis</v>
      </c>
      <c r="E33" s="33">
        <f>VLOOKUP(C33,Active!C$21:E$970,3,FALSE)</f>
        <v>-963.53648407836442</v>
      </c>
      <c r="F33" s="6" t="s">
        <v>63</v>
      </c>
      <c r="G33" s="17" t="str">
        <f t="shared" si="4"/>
        <v>34239.427</v>
      </c>
      <c r="H33" s="25">
        <f t="shared" si="5"/>
        <v>-963.5</v>
      </c>
      <c r="I33" s="34" t="s">
        <v>100</v>
      </c>
      <c r="J33" s="35" t="s">
        <v>101</v>
      </c>
      <c r="K33" s="34">
        <v>-963.5</v>
      </c>
      <c r="L33" s="34" t="s">
        <v>102</v>
      </c>
      <c r="M33" s="35" t="s">
        <v>69</v>
      </c>
      <c r="N33" s="35"/>
      <c r="O33" s="36" t="s">
        <v>70</v>
      </c>
      <c r="P33" s="36" t="s">
        <v>71</v>
      </c>
    </row>
    <row r="34" spans="1:16" ht="12.75" customHeight="1" thickBot="1" x14ac:dyDescent="0.25">
      <c r="A34" s="25" t="str">
        <f t="shared" si="0"/>
        <v> AHSB 6.3.58 </v>
      </c>
      <c r="B34" s="6" t="str">
        <f t="shared" si="1"/>
        <v>I</v>
      </c>
      <c r="C34" s="25">
        <f t="shared" si="2"/>
        <v>34601.440000000002</v>
      </c>
      <c r="D34" s="17" t="str">
        <f t="shared" si="3"/>
        <v>vis</v>
      </c>
      <c r="E34" s="33">
        <f>VLOOKUP(C34,Active!C$21:E$970,3,FALSE)</f>
        <v>-495.95658658473127</v>
      </c>
      <c r="F34" s="6" t="s">
        <v>63</v>
      </c>
      <c r="G34" s="17" t="str">
        <f t="shared" si="4"/>
        <v>34601.440</v>
      </c>
      <c r="H34" s="25">
        <f t="shared" si="5"/>
        <v>-496</v>
      </c>
      <c r="I34" s="34" t="s">
        <v>103</v>
      </c>
      <c r="J34" s="35" t="s">
        <v>104</v>
      </c>
      <c r="K34" s="34">
        <v>-496</v>
      </c>
      <c r="L34" s="34" t="s">
        <v>105</v>
      </c>
      <c r="M34" s="35" t="s">
        <v>69</v>
      </c>
      <c r="N34" s="35"/>
      <c r="O34" s="36" t="s">
        <v>70</v>
      </c>
      <c r="P34" s="36" t="s">
        <v>71</v>
      </c>
    </row>
    <row r="35" spans="1:16" ht="12.75" customHeight="1" thickBot="1" x14ac:dyDescent="0.25">
      <c r="A35" s="25" t="str">
        <f t="shared" si="0"/>
        <v> AHSB 6.3.58 </v>
      </c>
      <c r="B35" s="6" t="str">
        <f t="shared" si="1"/>
        <v>I</v>
      </c>
      <c r="C35" s="25">
        <f t="shared" si="2"/>
        <v>34604.476000000002</v>
      </c>
      <c r="D35" s="17" t="str">
        <f t="shared" si="3"/>
        <v>vis</v>
      </c>
      <c r="E35" s="33">
        <f>VLOOKUP(C35,Active!C$21:E$970,3,FALSE)</f>
        <v>-492.03525622148271</v>
      </c>
      <c r="F35" s="6" t="s">
        <v>63</v>
      </c>
      <c r="G35" s="17" t="str">
        <f t="shared" si="4"/>
        <v>34604.476</v>
      </c>
      <c r="H35" s="25">
        <f t="shared" si="5"/>
        <v>-492</v>
      </c>
      <c r="I35" s="34" t="s">
        <v>106</v>
      </c>
      <c r="J35" s="35" t="s">
        <v>107</v>
      </c>
      <c r="K35" s="34">
        <v>-492</v>
      </c>
      <c r="L35" s="34" t="s">
        <v>108</v>
      </c>
      <c r="M35" s="35" t="s">
        <v>69</v>
      </c>
      <c r="N35" s="35"/>
      <c r="O35" s="36" t="s">
        <v>70</v>
      </c>
      <c r="P35" s="36" t="s">
        <v>71</v>
      </c>
    </row>
    <row r="36" spans="1:16" ht="12.75" customHeight="1" thickBot="1" x14ac:dyDescent="0.25">
      <c r="A36" s="25" t="str">
        <f t="shared" si="0"/>
        <v> AHSB 6.3.58 </v>
      </c>
      <c r="B36" s="6" t="str">
        <f t="shared" si="1"/>
        <v>II</v>
      </c>
      <c r="C36" s="25">
        <f t="shared" si="2"/>
        <v>34627.345000000001</v>
      </c>
      <c r="D36" s="17" t="str">
        <f t="shared" si="3"/>
        <v>vis</v>
      </c>
      <c r="E36" s="33">
        <f>VLOOKUP(C36,Active!C$21:E$970,3,FALSE)</f>
        <v>-462.49740902875385</v>
      </c>
      <c r="F36" s="6" t="s">
        <v>63</v>
      </c>
      <c r="G36" s="17" t="str">
        <f t="shared" si="4"/>
        <v>34627.345</v>
      </c>
      <c r="H36" s="25">
        <f t="shared" si="5"/>
        <v>-462.5</v>
      </c>
      <c r="I36" s="34" t="s">
        <v>109</v>
      </c>
      <c r="J36" s="35" t="s">
        <v>110</v>
      </c>
      <c r="K36" s="34">
        <v>-462.5</v>
      </c>
      <c r="L36" s="34" t="s">
        <v>111</v>
      </c>
      <c r="M36" s="35" t="s">
        <v>69</v>
      </c>
      <c r="N36" s="35"/>
      <c r="O36" s="36" t="s">
        <v>70</v>
      </c>
      <c r="P36" s="36" t="s">
        <v>71</v>
      </c>
    </row>
    <row r="37" spans="1:16" ht="12.75" customHeight="1" thickBot="1" x14ac:dyDescent="0.25">
      <c r="A37" s="25" t="str">
        <f t="shared" si="0"/>
        <v> AHSB 6.3.58 </v>
      </c>
      <c r="B37" s="6" t="str">
        <f t="shared" si="1"/>
        <v>I</v>
      </c>
      <c r="C37" s="25">
        <f t="shared" si="2"/>
        <v>34628.519999999997</v>
      </c>
      <c r="D37" s="17" t="str">
        <f t="shared" si="3"/>
        <v>vis</v>
      </c>
      <c r="E37" s="33">
        <f>VLOOKUP(C37,Active!C$21:E$970,3,FALSE)</f>
        <v>-460.97976634864847</v>
      </c>
      <c r="F37" s="6" t="s">
        <v>63</v>
      </c>
      <c r="G37" s="17" t="str">
        <f t="shared" si="4"/>
        <v>34628.520</v>
      </c>
      <c r="H37" s="25">
        <f t="shared" si="5"/>
        <v>-461</v>
      </c>
      <c r="I37" s="34" t="s">
        <v>112</v>
      </c>
      <c r="J37" s="35" t="s">
        <v>113</v>
      </c>
      <c r="K37" s="34">
        <v>-461</v>
      </c>
      <c r="L37" s="34" t="s">
        <v>82</v>
      </c>
      <c r="M37" s="35" t="s">
        <v>69</v>
      </c>
      <c r="N37" s="35"/>
      <c r="O37" s="36" t="s">
        <v>70</v>
      </c>
      <c r="P37" s="36" t="s">
        <v>71</v>
      </c>
    </row>
    <row r="38" spans="1:16" ht="12.75" customHeight="1" thickBot="1" x14ac:dyDescent="0.25">
      <c r="A38" s="25" t="str">
        <f t="shared" si="0"/>
        <v> AHSB 6.3.58 </v>
      </c>
      <c r="B38" s="6" t="str">
        <f t="shared" si="1"/>
        <v>II</v>
      </c>
      <c r="C38" s="25">
        <f t="shared" si="2"/>
        <v>34634.307999999997</v>
      </c>
      <c r="D38" s="17" t="str">
        <f t="shared" si="3"/>
        <v>vis</v>
      </c>
      <c r="E38" s="33">
        <f>VLOOKUP(C38,Active!C$21:E$970,3,FALSE)</f>
        <v>-453.5039230869607</v>
      </c>
      <c r="F38" s="6" t="s">
        <v>63</v>
      </c>
      <c r="G38" s="17" t="str">
        <f t="shared" si="4"/>
        <v>34634.308</v>
      </c>
      <c r="H38" s="25">
        <f t="shared" si="5"/>
        <v>-453.5</v>
      </c>
      <c r="I38" s="34" t="s">
        <v>114</v>
      </c>
      <c r="J38" s="35" t="s">
        <v>115</v>
      </c>
      <c r="K38" s="34">
        <v>-453.5</v>
      </c>
      <c r="L38" s="34" t="s">
        <v>65</v>
      </c>
      <c r="M38" s="35" t="s">
        <v>69</v>
      </c>
      <c r="N38" s="35"/>
      <c r="O38" s="36" t="s">
        <v>70</v>
      </c>
      <c r="P38" s="36" t="s">
        <v>71</v>
      </c>
    </row>
    <row r="39" spans="1:16" ht="12.75" customHeight="1" thickBot="1" x14ac:dyDescent="0.25">
      <c r="A39" s="25" t="str">
        <f t="shared" si="0"/>
        <v> AHSB 6.3.58 </v>
      </c>
      <c r="B39" s="6" t="str">
        <f t="shared" si="1"/>
        <v>II</v>
      </c>
      <c r="C39" s="25">
        <f t="shared" si="2"/>
        <v>34637.43</v>
      </c>
      <c r="D39" s="17" t="str">
        <f t="shared" si="3"/>
        <v>vis</v>
      </c>
      <c r="E39" s="33">
        <f>VLOOKUP(C39,Active!C$21:E$970,3,FALSE)</f>
        <v>-449.4715141956321</v>
      </c>
      <c r="F39" s="6" t="s">
        <v>63</v>
      </c>
      <c r="G39" s="17" t="str">
        <f t="shared" si="4"/>
        <v>34637.430</v>
      </c>
      <c r="H39" s="25">
        <f t="shared" si="5"/>
        <v>-449.5</v>
      </c>
      <c r="I39" s="34" t="s">
        <v>116</v>
      </c>
      <c r="J39" s="35" t="s">
        <v>117</v>
      </c>
      <c r="K39" s="34">
        <v>-449.5</v>
      </c>
      <c r="L39" s="34" t="s">
        <v>118</v>
      </c>
      <c r="M39" s="35" t="s">
        <v>69</v>
      </c>
      <c r="N39" s="35"/>
      <c r="O39" s="36" t="s">
        <v>70</v>
      </c>
      <c r="P39" s="36" t="s">
        <v>71</v>
      </c>
    </row>
    <row r="40" spans="1:16" ht="12.75" customHeight="1" thickBot="1" x14ac:dyDescent="0.25">
      <c r="A40" s="25" t="str">
        <f t="shared" si="0"/>
        <v> AHSB 6.3.58 </v>
      </c>
      <c r="B40" s="6" t="str">
        <f t="shared" si="1"/>
        <v>I</v>
      </c>
      <c r="C40" s="25">
        <f t="shared" si="2"/>
        <v>34947.472999999998</v>
      </c>
      <c r="D40" s="17" t="str">
        <f t="shared" si="3"/>
        <v>vis</v>
      </c>
      <c r="E40" s="33">
        <f>VLOOKUP(C40,Active!C$21:E$970,3,FALSE)</f>
        <v>-49.01662954061171</v>
      </c>
      <c r="F40" s="6" t="s">
        <v>63</v>
      </c>
      <c r="G40" s="17" t="str">
        <f t="shared" si="4"/>
        <v>34947.473</v>
      </c>
      <c r="H40" s="25">
        <f t="shared" si="5"/>
        <v>-49</v>
      </c>
      <c r="I40" s="34" t="s">
        <v>119</v>
      </c>
      <c r="J40" s="35" t="s">
        <v>120</v>
      </c>
      <c r="K40" s="34">
        <v>-49</v>
      </c>
      <c r="L40" s="34" t="s">
        <v>121</v>
      </c>
      <c r="M40" s="35" t="s">
        <v>69</v>
      </c>
      <c r="N40" s="35"/>
      <c r="O40" s="36" t="s">
        <v>70</v>
      </c>
      <c r="P40" s="36" t="s">
        <v>71</v>
      </c>
    </row>
    <row r="41" spans="1:16" ht="12.75" customHeight="1" thickBot="1" x14ac:dyDescent="0.25">
      <c r="A41" s="25" t="str">
        <f t="shared" si="0"/>
        <v> AHSB 6.3.58 </v>
      </c>
      <c r="B41" s="6" t="str">
        <f t="shared" si="1"/>
        <v>I</v>
      </c>
      <c r="C41" s="25">
        <f t="shared" si="2"/>
        <v>34981.544000000002</v>
      </c>
      <c r="D41" s="17" t="str">
        <f t="shared" si="3"/>
        <v>vis</v>
      </c>
      <c r="E41" s="33">
        <f>VLOOKUP(C41,Active!C$21:E$970,3,FALSE)</f>
        <v>-5.010158260554701</v>
      </c>
      <c r="F41" s="6" t="s">
        <v>63</v>
      </c>
      <c r="G41" s="17" t="str">
        <f t="shared" si="4"/>
        <v>34981.544</v>
      </c>
      <c r="H41" s="25">
        <f t="shared" si="5"/>
        <v>-5</v>
      </c>
      <c r="I41" s="34" t="s">
        <v>122</v>
      </c>
      <c r="J41" s="35" t="s">
        <v>123</v>
      </c>
      <c r="K41" s="34">
        <v>-5</v>
      </c>
      <c r="L41" s="34" t="s">
        <v>124</v>
      </c>
      <c r="M41" s="35" t="s">
        <v>69</v>
      </c>
      <c r="N41" s="35"/>
      <c r="O41" s="36" t="s">
        <v>70</v>
      </c>
      <c r="P41" s="36" t="s">
        <v>71</v>
      </c>
    </row>
    <row r="42" spans="1:16" ht="12.75" customHeight="1" thickBot="1" x14ac:dyDescent="0.25">
      <c r="A42" s="25" t="str">
        <f t="shared" si="0"/>
        <v> AHSB 6.3.58 </v>
      </c>
      <c r="B42" s="6" t="str">
        <f t="shared" si="1"/>
        <v>I</v>
      </c>
      <c r="C42" s="25">
        <f t="shared" si="2"/>
        <v>34985.421999999999</v>
      </c>
      <c r="D42" s="17" t="str">
        <f t="shared" si="3"/>
        <v>vis</v>
      </c>
      <c r="E42" s="33">
        <f>VLOOKUP(C42,Active!C$21:E$970,3,FALSE)</f>
        <v>-1.2916107965458112E-3</v>
      </c>
      <c r="F42" s="6" t="s">
        <v>63</v>
      </c>
      <c r="G42" s="17" t="str">
        <f t="shared" si="4"/>
        <v>34985.422</v>
      </c>
      <c r="H42" s="25">
        <f t="shared" si="5"/>
        <v>0</v>
      </c>
      <c r="I42" s="34" t="s">
        <v>125</v>
      </c>
      <c r="J42" s="35" t="s">
        <v>126</v>
      </c>
      <c r="K42" s="34">
        <v>0</v>
      </c>
      <c r="L42" s="34" t="s">
        <v>97</v>
      </c>
      <c r="M42" s="35" t="s">
        <v>69</v>
      </c>
      <c r="N42" s="35"/>
      <c r="O42" s="36" t="s">
        <v>70</v>
      </c>
      <c r="P42" s="36" t="s">
        <v>71</v>
      </c>
    </row>
    <row r="43" spans="1:16" ht="12.75" customHeight="1" thickBot="1" x14ac:dyDescent="0.25">
      <c r="A43" s="25" t="str">
        <f t="shared" ref="A43:A65" si="6">P43</f>
        <v> AHSB 6.3.58 </v>
      </c>
      <c r="B43" s="6" t="str">
        <f t="shared" ref="B43:B65" si="7">IF(H43=INT(H43),"I","II")</f>
        <v>I</v>
      </c>
      <c r="C43" s="25">
        <f t="shared" ref="C43:C65" si="8">1*G43</f>
        <v>35044.256000000001</v>
      </c>
      <c r="D43" s="17" t="str">
        <f t="shared" ref="D43:D65" si="9">VLOOKUP(F43,I$1:J$5,2,FALSE)</f>
        <v>vis</v>
      </c>
      <c r="E43" s="33">
        <f>VLOOKUP(C43,Active!C$21:E$970,3,FALSE)</f>
        <v>75.989337701249397</v>
      </c>
      <c r="F43" s="6" t="s">
        <v>63</v>
      </c>
      <c r="G43" s="17" t="str">
        <f t="shared" ref="G43:G65" si="10">MID(I43,3,LEN(I43)-3)</f>
        <v>35044.256</v>
      </c>
      <c r="H43" s="25">
        <f t="shared" ref="H43:H65" si="11">1*K43</f>
        <v>76</v>
      </c>
      <c r="I43" s="34" t="s">
        <v>127</v>
      </c>
      <c r="J43" s="35" t="s">
        <v>128</v>
      </c>
      <c r="K43" s="34">
        <v>76</v>
      </c>
      <c r="L43" s="34" t="s">
        <v>124</v>
      </c>
      <c r="M43" s="35" t="s">
        <v>69</v>
      </c>
      <c r="N43" s="35"/>
      <c r="O43" s="36" t="s">
        <v>70</v>
      </c>
      <c r="P43" s="36" t="s">
        <v>71</v>
      </c>
    </row>
    <row r="44" spans="1:16" ht="12.75" customHeight="1" thickBot="1" x14ac:dyDescent="0.25">
      <c r="A44" s="25" t="str">
        <f t="shared" si="6"/>
        <v> AHSB 6.3.58 </v>
      </c>
      <c r="B44" s="6" t="str">
        <f t="shared" si="7"/>
        <v>II</v>
      </c>
      <c r="C44" s="25">
        <f t="shared" si="8"/>
        <v>35066.321000000004</v>
      </c>
      <c r="D44" s="17" t="str">
        <f t="shared" si="9"/>
        <v>vis</v>
      </c>
      <c r="E44" s="33">
        <f>VLOOKUP(C44,Active!C$21:E$970,3,FALSE)</f>
        <v>104.48872981754945</v>
      </c>
      <c r="F44" s="6" t="s">
        <v>63</v>
      </c>
      <c r="G44" s="17" t="str">
        <f t="shared" si="10"/>
        <v>35066.321</v>
      </c>
      <c r="H44" s="25">
        <f t="shared" si="11"/>
        <v>104.5</v>
      </c>
      <c r="I44" s="34" t="s">
        <v>129</v>
      </c>
      <c r="J44" s="35" t="s">
        <v>130</v>
      </c>
      <c r="K44" s="34">
        <v>104.5</v>
      </c>
      <c r="L44" s="34" t="s">
        <v>131</v>
      </c>
      <c r="M44" s="35" t="s">
        <v>69</v>
      </c>
      <c r="N44" s="35"/>
      <c r="O44" s="36" t="s">
        <v>70</v>
      </c>
      <c r="P44" s="36" t="s">
        <v>71</v>
      </c>
    </row>
    <row r="45" spans="1:16" ht="12.75" customHeight="1" thickBot="1" x14ac:dyDescent="0.25">
      <c r="A45" s="25" t="str">
        <f t="shared" si="6"/>
        <v> AHSB 6.3.58 </v>
      </c>
      <c r="B45" s="6" t="str">
        <f t="shared" si="7"/>
        <v>II</v>
      </c>
      <c r="C45" s="25">
        <f t="shared" si="8"/>
        <v>35185.595000000001</v>
      </c>
      <c r="D45" s="17" t="str">
        <f t="shared" si="9"/>
        <v>vis</v>
      </c>
      <c r="E45" s="33">
        <f>VLOOKUP(C45,Active!C$21:E$970,3,FALSE)</f>
        <v>258.54431537291526</v>
      </c>
      <c r="F45" s="6" t="s">
        <v>63</v>
      </c>
      <c r="G45" s="17" t="str">
        <f t="shared" si="10"/>
        <v>35185.595</v>
      </c>
      <c r="H45" s="25">
        <f t="shared" si="11"/>
        <v>258.5</v>
      </c>
      <c r="I45" s="34" t="s">
        <v>132</v>
      </c>
      <c r="J45" s="35" t="s">
        <v>133</v>
      </c>
      <c r="K45" s="34">
        <v>258.5</v>
      </c>
      <c r="L45" s="34" t="s">
        <v>105</v>
      </c>
      <c r="M45" s="35" t="s">
        <v>69</v>
      </c>
      <c r="N45" s="35"/>
      <c r="O45" s="36" t="s">
        <v>70</v>
      </c>
      <c r="P45" s="36" t="s">
        <v>71</v>
      </c>
    </row>
    <row r="46" spans="1:16" ht="12.75" customHeight="1" thickBot="1" x14ac:dyDescent="0.25">
      <c r="A46" s="25" t="str">
        <f t="shared" si="6"/>
        <v> AHSB 6.3.58 </v>
      </c>
      <c r="B46" s="6" t="str">
        <f t="shared" si="7"/>
        <v>II</v>
      </c>
      <c r="C46" s="25">
        <f t="shared" si="8"/>
        <v>35309.455999999998</v>
      </c>
      <c r="D46" s="17" t="str">
        <f t="shared" si="9"/>
        <v>vis</v>
      </c>
      <c r="E46" s="33">
        <f>VLOOKUP(C46,Active!C$21:E$970,3,FALSE)</f>
        <v>418.52451962927546</v>
      </c>
      <c r="F46" s="6" t="s">
        <v>63</v>
      </c>
      <c r="G46" s="17" t="str">
        <f t="shared" si="10"/>
        <v>35309.456</v>
      </c>
      <c r="H46" s="25">
        <f t="shared" si="11"/>
        <v>418.5</v>
      </c>
      <c r="I46" s="34" t="s">
        <v>134</v>
      </c>
      <c r="J46" s="35" t="s">
        <v>135</v>
      </c>
      <c r="K46" s="34">
        <v>418.5</v>
      </c>
      <c r="L46" s="34" t="s">
        <v>136</v>
      </c>
      <c r="M46" s="35" t="s">
        <v>69</v>
      </c>
      <c r="N46" s="35"/>
      <c r="O46" s="36" t="s">
        <v>70</v>
      </c>
      <c r="P46" s="36" t="s">
        <v>71</v>
      </c>
    </row>
    <row r="47" spans="1:16" ht="12.75" customHeight="1" thickBot="1" x14ac:dyDescent="0.25">
      <c r="A47" s="25" t="str">
        <f t="shared" si="6"/>
        <v> AHSB 6.3.58 </v>
      </c>
      <c r="B47" s="6" t="str">
        <f t="shared" si="7"/>
        <v>II</v>
      </c>
      <c r="C47" s="25">
        <f t="shared" si="8"/>
        <v>35319.529000000002</v>
      </c>
      <c r="D47" s="17" t="str">
        <f t="shared" si="9"/>
        <v>vis</v>
      </c>
      <c r="E47" s="33">
        <f>VLOOKUP(C47,Active!C$21:E$970,3,FALSE)</f>
        <v>431.53491513290442</v>
      </c>
      <c r="F47" s="6" t="s">
        <v>63</v>
      </c>
      <c r="G47" s="17" t="str">
        <f t="shared" si="10"/>
        <v>35319.529</v>
      </c>
      <c r="H47" s="25">
        <f t="shared" si="11"/>
        <v>431.5</v>
      </c>
      <c r="I47" s="34" t="s">
        <v>137</v>
      </c>
      <c r="J47" s="35" t="s">
        <v>138</v>
      </c>
      <c r="K47" s="34">
        <v>431.5</v>
      </c>
      <c r="L47" s="34" t="s">
        <v>139</v>
      </c>
      <c r="M47" s="35" t="s">
        <v>69</v>
      </c>
      <c r="N47" s="35"/>
      <c r="O47" s="36" t="s">
        <v>70</v>
      </c>
      <c r="P47" s="36" t="s">
        <v>71</v>
      </c>
    </row>
    <row r="48" spans="1:16" ht="12.75" customHeight="1" thickBot="1" x14ac:dyDescent="0.25">
      <c r="A48" s="25" t="str">
        <f t="shared" si="6"/>
        <v> AHSB 6.3.58 </v>
      </c>
      <c r="B48" s="6" t="str">
        <f t="shared" si="7"/>
        <v>II</v>
      </c>
      <c r="C48" s="25">
        <f t="shared" si="8"/>
        <v>35371.370000000003</v>
      </c>
      <c r="D48" s="17" t="str">
        <f t="shared" si="9"/>
        <v>vis</v>
      </c>
      <c r="E48" s="33">
        <f>VLOOKUP(C48,Active!C$21:E$970,3,FALSE)</f>
        <v>498.49331017940182</v>
      </c>
      <c r="F48" s="6" t="s">
        <v>63</v>
      </c>
      <c r="G48" s="17" t="str">
        <f t="shared" si="10"/>
        <v>35371.370</v>
      </c>
      <c r="H48" s="25">
        <f t="shared" si="11"/>
        <v>498.5</v>
      </c>
      <c r="I48" s="34" t="s">
        <v>140</v>
      </c>
      <c r="J48" s="35" t="s">
        <v>141</v>
      </c>
      <c r="K48" s="34">
        <v>498.5</v>
      </c>
      <c r="L48" s="34" t="s">
        <v>91</v>
      </c>
      <c r="M48" s="35" t="s">
        <v>69</v>
      </c>
      <c r="N48" s="35"/>
      <c r="O48" s="36" t="s">
        <v>70</v>
      </c>
      <c r="P48" s="36" t="s">
        <v>71</v>
      </c>
    </row>
    <row r="49" spans="1:16" ht="12.75" customHeight="1" thickBot="1" x14ac:dyDescent="0.25">
      <c r="A49" s="25" t="str">
        <f t="shared" si="6"/>
        <v> AHSB 6.3.58 </v>
      </c>
      <c r="B49" s="6" t="str">
        <f t="shared" si="7"/>
        <v>I</v>
      </c>
      <c r="C49" s="25">
        <f t="shared" si="8"/>
        <v>35373.285000000003</v>
      </c>
      <c r="D49" s="17" t="str">
        <f t="shared" si="9"/>
        <v>vis</v>
      </c>
      <c r="E49" s="33">
        <f>VLOOKUP(C49,Active!C$21:E$970,3,FALSE)</f>
        <v>500.96674484528597</v>
      </c>
      <c r="F49" s="6" t="s">
        <v>63</v>
      </c>
      <c r="G49" s="17" t="str">
        <f t="shared" si="10"/>
        <v>35373.285</v>
      </c>
      <c r="H49" s="25">
        <f t="shared" si="11"/>
        <v>501</v>
      </c>
      <c r="I49" s="34" t="s">
        <v>142</v>
      </c>
      <c r="J49" s="35" t="s">
        <v>143</v>
      </c>
      <c r="K49" s="34">
        <v>501</v>
      </c>
      <c r="L49" s="34" t="s">
        <v>144</v>
      </c>
      <c r="M49" s="35" t="s">
        <v>69</v>
      </c>
      <c r="N49" s="35"/>
      <c r="O49" s="36" t="s">
        <v>70</v>
      </c>
      <c r="P49" s="36" t="s">
        <v>71</v>
      </c>
    </row>
    <row r="50" spans="1:16" ht="12.75" customHeight="1" thickBot="1" x14ac:dyDescent="0.25">
      <c r="A50" s="25" t="str">
        <f t="shared" si="6"/>
        <v> AHSB 6.3.58 </v>
      </c>
      <c r="B50" s="6" t="str">
        <f t="shared" si="7"/>
        <v>II</v>
      </c>
      <c r="C50" s="25">
        <f t="shared" si="8"/>
        <v>35374.464999999997</v>
      </c>
      <c r="D50" s="17" t="str">
        <f t="shared" si="9"/>
        <v>vis</v>
      </c>
      <c r="E50" s="33">
        <f>VLOOKUP(C50,Active!C$21:E$970,3,FALSE)</f>
        <v>502.49084557934583</v>
      </c>
      <c r="F50" s="6" t="s">
        <v>63</v>
      </c>
      <c r="G50" s="17" t="str">
        <f t="shared" si="10"/>
        <v>35374.465</v>
      </c>
      <c r="H50" s="25">
        <f t="shared" si="11"/>
        <v>502.5</v>
      </c>
      <c r="I50" s="34" t="s">
        <v>145</v>
      </c>
      <c r="J50" s="35" t="s">
        <v>146</v>
      </c>
      <c r="K50" s="34">
        <v>502.5</v>
      </c>
      <c r="L50" s="34" t="s">
        <v>147</v>
      </c>
      <c r="M50" s="35" t="s">
        <v>69</v>
      </c>
      <c r="N50" s="35"/>
      <c r="O50" s="36" t="s">
        <v>70</v>
      </c>
      <c r="P50" s="36" t="s">
        <v>71</v>
      </c>
    </row>
    <row r="51" spans="1:16" ht="12.75" customHeight="1" thickBot="1" x14ac:dyDescent="0.25">
      <c r="A51" s="25" t="str">
        <f t="shared" si="6"/>
        <v> AHSB 6.3.58 </v>
      </c>
      <c r="B51" s="6" t="str">
        <f t="shared" si="7"/>
        <v>I</v>
      </c>
      <c r="C51" s="25">
        <f t="shared" si="8"/>
        <v>35428.269999999997</v>
      </c>
      <c r="D51" s="17" t="str">
        <f t="shared" si="9"/>
        <v>vis</v>
      </c>
      <c r="E51" s="33">
        <f>VLOOKUP(C51,Active!C$21:E$970,3,FALSE)</f>
        <v>571.98596422051378</v>
      </c>
      <c r="F51" s="6" t="s">
        <v>63</v>
      </c>
      <c r="G51" s="17" t="str">
        <f t="shared" si="10"/>
        <v>35428.270</v>
      </c>
      <c r="H51" s="25">
        <f t="shared" si="11"/>
        <v>572</v>
      </c>
      <c r="I51" s="34" t="s">
        <v>148</v>
      </c>
      <c r="J51" s="35" t="s">
        <v>149</v>
      </c>
      <c r="K51" s="34">
        <v>572</v>
      </c>
      <c r="L51" s="34" t="s">
        <v>150</v>
      </c>
      <c r="M51" s="35" t="s">
        <v>69</v>
      </c>
      <c r="N51" s="35"/>
      <c r="O51" s="36" t="s">
        <v>70</v>
      </c>
      <c r="P51" s="36" t="s">
        <v>71</v>
      </c>
    </row>
    <row r="52" spans="1:16" ht="12.75" customHeight="1" thickBot="1" x14ac:dyDescent="0.25">
      <c r="A52" s="25" t="str">
        <f t="shared" si="6"/>
        <v> AHSB 6.3.58 </v>
      </c>
      <c r="B52" s="6" t="str">
        <f t="shared" si="7"/>
        <v>II</v>
      </c>
      <c r="C52" s="25">
        <f t="shared" si="8"/>
        <v>35454.230000000003</v>
      </c>
      <c r="D52" s="17" t="str">
        <f t="shared" si="9"/>
        <v>vis</v>
      </c>
      <c r="E52" s="33">
        <f>VLOOKUP(C52,Active!C$21:E$970,3,FALSE)</f>
        <v>605.51618037003811</v>
      </c>
      <c r="F52" s="6" t="s">
        <v>63</v>
      </c>
      <c r="G52" s="17" t="str">
        <f t="shared" si="10"/>
        <v>35454.230</v>
      </c>
      <c r="H52" s="25">
        <f t="shared" si="11"/>
        <v>605.5</v>
      </c>
      <c r="I52" s="34" t="s">
        <v>151</v>
      </c>
      <c r="J52" s="35" t="s">
        <v>152</v>
      </c>
      <c r="K52" s="34">
        <v>605.5</v>
      </c>
      <c r="L52" s="34" t="s">
        <v>153</v>
      </c>
      <c r="M52" s="35" t="s">
        <v>69</v>
      </c>
      <c r="N52" s="35"/>
      <c r="O52" s="36" t="s">
        <v>70</v>
      </c>
      <c r="P52" s="36" t="s">
        <v>71</v>
      </c>
    </row>
    <row r="53" spans="1:16" ht="12.75" customHeight="1" thickBot="1" x14ac:dyDescent="0.25">
      <c r="A53" s="25" t="str">
        <f t="shared" si="6"/>
        <v> AHSB 6.3.58 </v>
      </c>
      <c r="B53" s="6" t="str">
        <f t="shared" si="7"/>
        <v>II</v>
      </c>
      <c r="C53" s="25">
        <f t="shared" si="8"/>
        <v>36815.31</v>
      </c>
      <c r="D53" s="17" t="str">
        <f t="shared" si="9"/>
        <v>vis</v>
      </c>
      <c r="E53" s="33">
        <f>VLOOKUP(C53,Active!C$21:E$970,3,FALSE)</f>
        <v>2363.5017965789407</v>
      </c>
      <c r="F53" s="6" t="s">
        <v>63</v>
      </c>
      <c r="G53" s="17" t="str">
        <f t="shared" si="10"/>
        <v>36815.310</v>
      </c>
      <c r="H53" s="25">
        <f t="shared" si="11"/>
        <v>2363.5</v>
      </c>
      <c r="I53" s="34" t="s">
        <v>154</v>
      </c>
      <c r="J53" s="35" t="s">
        <v>155</v>
      </c>
      <c r="K53" s="34">
        <v>2363.5</v>
      </c>
      <c r="L53" s="34" t="s">
        <v>156</v>
      </c>
      <c r="M53" s="35" t="s">
        <v>69</v>
      </c>
      <c r="N53" s="35"/>
      <c r="O53" s="36" t="s">
        <v>70</v>
      </c>
      <c r="P53" s="36" t="s">
        <v>71</v>
      </c>
    </row>
    <row r="54" spans="1:16" ht="12.75" customHeight="1" thickBot="1" x14ac:dyDescent="0.25">
      <c r="A54" s="25" t="str">
        <f t="shared" si="6"/>
        <v> AHSB 6.3.58 </v>
      </c>
      <c r="B54" s="6" t="str">
        <f t="shared" si="7"/>
        <v>I</v>
      </c>
      <c r="C54" s="25">
        <f t="shared" si="8"/>
        <v>36815.660000000003</v>
      </c>
      <c r="D54" s="17" t="str">
        <f t="shared" si="9"/>
        <v>vis</v>
      </c>
      <c r="E54" s="33">
        <f>VLOOKUP(C54,Active!C$21:E$970,3,FALSE)</f>
        <v>2363.9538603560022</v>
      </c>
      <c r="F54" s="6" t="s">
        <v>63</v>
      </c>
      <c r="G54" s="17" t="str">
        <f t="shared" si="10"/>
        <v>36815.660</v>
      </c>
      <c r="H54" s="25">
        <f t="shared" si="11"/>
        <v>2364</v>
      </c>
      <c r="I54" s="34" t="s">
        <v>157</v>
      </c>
      <c r="J54" s="35" t="s">
        <v>158</v>
      </c>
      <c r="K54" s="34">
        <v>2364</v>
      </c>
      <c r="L54" s="34" t="s">
        <v>159</v>
      </c>
      <c r="M54" s="35" t="s">
        <v>69</v>
      </c>
      <c r="N54" s="35"/>
      <c r="O54" s="36" t="s">
        <v>70</v>
      </c>
      <c r="P54" s="36" t="s">
        <v>71</v>
      </c>
    </row>
    <row r="55" spans="1:16" ht="12.75" customHeight="1" thickBot="1" x14ac:dyDescent="0.25">
      <c r="A55" s="25" t="str">
        <f t="shared" si="6"/>
        <v> AHSB 6.3.58 </v>
      </c>
      <c r="B55" s="6" t="str">
        <f t="shared" si="7"/>
        <v>I</v>
      </c>
      <c r="C55" s="25">
        <f t="shared" si="8"/>
        <v>36816.480000000003</v>
      </c>
      <c r="D55" s="17" t="str">
        <f t="shared" si="9"/>
        <v>vis</v>
      </c>
      <c r="E55" s="33">
        <f>VLOOKUP(C55,Active!C$21:E$970,3,FALSE)</f>
        <v>2365.0129812051009</v>
      </c>
      <c r="F55" s="6" t="s">
        <v>63</v>
      </c>
      <c r="G55" s="17" t="str">
        <f t="shared" si="10"/>
        <v>36816.480</v>
      </c>
      <c r="H55" s="25">
        <f t="shared" si="11"/>
        <v>2365</v>
      </c>
      <c r="I55" s="34" t="s">
        <v>160</v>
      </c>
      <c r="J55" s="35" t="s">
        <v>161</v>
      </c>
      <c r="K55" s="34">
        <v>2365</v>
      </c>
      <c r="L55" s="34" t="s">
        <v>162</v>
      </c>
      <c r="M55" s="35" t="s">
        <v>69</v>
      </c>
      <c r="N55" s="35"/>
      <c r="O55" s="36" t="s">
        <v>70</v>
      </c>
      <c r="P55" s="36" t="s">
        <v>71</v>
      </c>
    </row>
    <row r="56" spans="1:16" ht="12.75" customHeight="1" thickBot="1" x14ac:dyDescent="0.25">
      <c r="A56" s="25" t="str">
        <f t="shared" si="6"/>
        <v> AHSB 6.3.58 </v>
      </c>
      <c r="B56" s="6" t="str">
        <f t="shared" si="7"/>
        <v>II</v>
      </c>
      <c r="C56" s="25">
        <f t="shared" si="8"/>
        <v>36818.42</v>
      </c>
      <c r="D56" s="17" t="str">
        <f t="shared" si="9"/>
        <v>vis</v>
      </c>
      <c r="E56" s="33">
        <f>VLOOKUP(C56,Active!C$21:E$970,3,FALSE)</f>
        <v>2367.5187061407669</v>
      </c>
      <c r="F56" s="6" t="s">
        <v>63</v>
      </c>
      <c r="G56" s="17" t="str">
        <f t="shared" si="10"/>
        <v>36818.420</v>
      </c>
      <c r="H56" s="25">
        <f t="shared" si="11"/>
        <v>2367.5</v>
      </c>
      <c r="I56" s="34" t="s">
        <v>163</v>
      </c>
      <c r="J56" s="35" t="s">
        <v>164</v>
      </c>
      <c r="K56" s="34">
        <v>2367.5</v>
      </c>
      <c r="L56" s="34" t="s">
        <v>68</v>
      </c>
      <c r="M56" s="35" t="s">
        <v>69</v>
      </c>
      <c r="N56" s="35"/>
      <c r="O56" s="36" t="s">
        <v>70</v>
      </c>
      <c r="P56" s="36" t="s">
        <v>71</v>
      </c>
    </row>
    <row r="57" spans="1:16" ht="12.75" customHeight="1" thickBot="1" x14ac:dyDescent="0.25">
      <c r="A57" s="25" t="str">
        <f t="shared" si="6"/>
        <v> AHSB 6.3.58 </v>
      </c>
      <c r="B57" s="6" t="str">
        <f t="shared" si="7"/>
        <v>II</v>
      </c>
      <c r="C57" s="25">
        <f t="shared" si="8"/>
        <v>36849.375</v>
      </c>
      <c r="D57" s="17" t="str">
        <f t="shared" si="9"/>
        <v>vis</v>
      </c>
      <c r="E57" s="33">
        <f>VLOOKUP(C57,Active!C$21:E$970,3,FALSE)</f>
        <v>2407.5005181942465</v>
      </c>
      <c r="F57" s="6" t="s">
        <v>63</v>
      </c>
      <c r="G57" s="17" t="str">
        <f t="shared" si="10"/>
        <v>36849.375</v>
      </c>
      <c r="H57" s="25">
        <f t="shared" si="11"/>
        <v>2407.5</v>
      </c>
      <c r="I57" s="34" t="s">
        <v>165</v>
      </c>
      <c r="J57" s="35" t="s">
        <v>166</v>
      </c>
      <c r="K57" s="34">
        <v>2407.5</v>
      </c>
      <c r="L57" s="34" t="s">
        <v>167</v>
      </c>
      <c r="M57" s="35" t="s">
        <v>69</v>
      </c>
      <c r="N57" s="35"/>
      <c r="O57" s="36" t="s">
        <v>70</v>
      </c>
      <c r="P57" s="36" t="s">
        <v>71</v>
      </c>
    </row>
    <row r="58" spans="1:16" ht="12.75" customHeight="1" thickBot="1" x14ac:dyDescent="0.25">
      <c r="A58" s="25" t="str">
        <f t="shared" si="6"/>
        <v> AHSB 6.3.58 </v>
      </c>
      <c r="B58" s="6" t="str">
        <f t="shared" si="7"/>
        <v>II</v>
      </c>
      <c r="C58" s="25">
        <f t="shared" si="8"/>
        <v>37143.56</v>
      </c>
      <c r="D58" s="17" t="str">
        <f t="shared" si="9"/>
        <v>vis</v>
      </c>
      <c r="E58" s="33">
        <f>VLOOKUP(C58,Active!C$21:E$970,3,FALSE)</f>
        <v>2787.4730389163301</v>
      </c>
      <c r="F58" s="6" t="s">
        <v>63</v>
      </c>
      <c r="G58" s="17" t="str">
        <f t="shared" si="10"/>
        <v>37143.560</v>
      </c>
      <c r="H58" s="25">
        <f t="shared" si="11"/>
        <v>2787.5</v>
      </c>
      <c r="I58" s="34" t="s">
        <v>168</v>
      </c>
      <c r="J58" s="35" t="s">
        <v>169</v>
      </c>
      <c r="K58" s="34">
        <v>2787.5</v>
      </c>
      <c r="L58" s="34" t="s">
        <v>170</v>
      </c>
      <c r="M58" s="35" t="s">
        <v>69</v>
      </c>
      <c r="N58" s="35"/>
      <c r="O58" s="36" t="s">
        <v>70</v>
      </c>
      <c r="P58" s="36" t="s">
        <v>71</v>
      </c>
    </row>
    <row r="59" spans="1:16" ht="12.75" customHeight="1" thickBot="1" x14ac:dyDescent="0.25">
      <c r="A59" s="25" t="str">
        <f t="shared" si="6"/>
        <v>BAVM 39 </v>
      </c>
      <c r="B59" s="6" t="str">
        <f t="shared" si="7"/>
        <v>I</v>
      </c>
      <c r="C59" s="25">
        <f t="shared" si="8"/>
        <v>45945.402999999998</v>
      </c>
      <c r="D59" s="17" t="str">
        <f t="shared" si="9"/>
        <v>vis</v>
      </c>
      <c r="E59" s="33">
        <f>VLOOKUP(C59,Active!C$21:E$970,3,FALSE)</f>
        <v>14156.02844354286</v>
      </c>
      <c r="F59" s="6" t="s">
        <v>63</v>
      </c>
      <c r="G59" s="17" t="str">
        <f t="shared" si="10"/>
        <v>45945.403</v>
      </c>
      <c r="H59" s="25">
        <f t="shared" si="11"/>
        <v>14156</v>
      </c>
      <c r="I59" s="34" t="s">
        <v>171</v>
      </c>
      <c r="J59" s="35" t="s">
        <v>172</v>
      </c>
      <c r="K59" s="34">
        <v>14156</v>
      </c>
      <c r="L59" s="34" t="s">
        <v>118</v>
      </c>
      <c r="M59" s="35" t="s">
        <v>173</v>
      </c>
      <c r="N59" s="35"/>
      <c r="O59" s="36" t="s">
        <v>174</v>
      </c>
      <c r="P59" s="37" t="s">
        <v>175</v>
      </c>
    </row>
    <row r="60" spans="1:16" ht="12.75" customHeight="1" thickBot="1" x14ac:dyDescent="0.25">
      <c r="A60" s="25" t="str">
        <f t="shared" si="6"/>
        <v> BBS 111 </v>
      </c>
      <c r="B60" s="6" t="str">
        <f t="shared" si="7"/>
        <v>II</v>
      </c>
      <c r="C60" s="25">
        <f t="shared" si="8"/>
        <v>50013.351000000002</v>
      </c>
      <c r="D60" s="17" t="str">
        <f t="shared" si="9"/>
        <v>vis</v>
      </c>
      <c r="E60" s="33">
        <f>VLOOKUP(C60,Active!C$21:E$970,3,FALSE)</f>
        <v>19410.233979944696</v>
      </c>
      <c r="F60" s="6" t="s">
        <v>63</v>
      </c>
      <c r="G60" s="17" t="str">
        <f t="shared" si="10"/>
        <v>50013.351</v>
      </c>
      <c r="H60" s="25">
        <f t="shared" si="11"/>
        <v>19410.5</v>
      </c>
      <c r="I60" s="34" t="s">
        <v>198</v>
      </c>
      <c r="J60" s="35" t="s">
        <v>199</v>
      </c>
      <c r="K60" s="34">
        <v>19410.5</v>
      </c>
      <c r="L60" s="34" t="s">
        <v>200</v>
      </c>
      <c r="M60" s="35" t="s">
        <v>173</v>
      </c>
      <c r="N60" s="35"/>
      <c r="O60" s="36" t="s">
        <v>179</v>
      </c>
      <c r="P60" s="36" t="s">
        <v>197</v>
      </c>
    </row>
    <row r="61" spans="1:16" ht="12.75" customHeight="1" thickBot="1" x14ac:dyDescent="0.25">
      <c r="A61" s="25" t="str">
        <f t="shared" si="6"/>
        <v>OEJV 0094 </v>
      </c>
      <c r="B61" s="6" t="str">
        <f t="shared" si="7"/>
        <v>I</v>
      </c>
      <c r="C61" s="25">
        <f t="shared" si="8"/>
        <v>54674.431100000002</v>
      </c>
      <c r="D61" s="17" t="str">
        <f t="shared" si="9"/>
        <v>vis</v>
      </c>
      <c r="E61" s="33" t="e">
        <f>VLOOKUP(C61,Active!C$21:E$970,3,FALSE)</f>
        <v>#N/A</v>
      </c>
      <c r="F61" s="6" t="s">
        <v>63</v>
      </c>
      <c r="G61" s="17" t="str">
        <f t="shared" si="10"/>
        <v>54674.4311</v>
      </c>
      <c r="H61" s="25">
        <f t="shared" si="11"/>
        <v>25431</v>
      </c>
      <c r="I61" s="34" t="s">
        <v>228</v>
      </c>
      <c r="J61" s="35" t="s">
        <v>229</v>
      </c>
      <c r="K61" s="34" t="s">
        <v>230</v>
      </c>
      <c r="L61" s="34" t="s">
        <v>231</v>
      </c>
      <c r="M61" s="35" t="s">
        <v>204</v>
      </c>
      <c r="N61" s="35" t="s">
        <v>232</v>
      </c>
      <c r="O61" s="36" t="s">
        <v>233</v>
      </c>
      <c r="P61" s="37" t="s">
        <v>234</v>
      </c>
    </row>
    <row r="62" spans="1:16" ht="12.75" customHeight="1" thickBot="1" x14ac:dyDescent="0.25">
      <c r="A62" s="25" t="str">
        <f t="shared" si="6"/>
        <v>OEJV 0094 </v>
      </c>
      <c r="B62" s="6" t="str">
        <f t="shared" si="7"/>
        <v>I</v>
      </c>
      <c r="C62" s="25">
        <f t="shared" si="8"/>
        <v>54712.369500000001</v>
      </c>
      <c r="D62" s="17" t="str">
        <f t="shared" si="9"/>
        <v>vis</v>
      </c>
      <c r="E62" s="33" t="e">
        <f>VLOOKUP(C62,Active!C$21:E$970,3,FALSE)</f>
        <v>#N/A</v>
      </c>
      <c r="F62" s="6" t="s">
        <v>63</v>
      </c>
      <c r="G62" s="17" t="str">
        <f t="shared" si="10"/>
        <v>54712.3695</v>
      </c>
      <c r="H62" s="25">
        <f t="shared" si="11"/>
        <v>25480</v>
      </c>
      <c r="I62" s="34" t="s">
        <v>235</v>
      </c>
      <c r="J62" s="35" t="s">
        <v>236</v>
      </c>
      <c r="K62" s="34" t="s">
        <v>237</v>
      </c>
      <c r="L62" s="34" t="s">
        <v>238</v>
      </c>
      <c r="M62" s="35" t="s">
        <v>204</v>
      </c>
      <c r="N62" s="35" t="s">
        <v>232</v>
      </c>
      <c r="O62" s="36" t="s">
        <v>233</v>
      </c>
      <c r="P62" s="37" t="s">
        <v>234</v>
      </c>
    </row>
    <row r="63" spans="1:16" ht="12.75" customHeight="1" thickBot="1" x14ac:dyDescent="0.25">
      <c r="A63" s="25" t="str">
        <f t="shared" si="6"/>
        <v>OEJV 0094 </v>
      </c>
      <c r="B63" s="6" t="str">
        <f t="shared" si="7"/>
        <v>I</v>
      </c>
      <c r="C63" s="25">
        <f t="shared" si="8"/>
        <v>54719.335500000001</v>
      </c>
      <c r="D63" s="17" t="str">
        <f t="shared" si="9"/>
        <v>vis</v>
      </c>
      <c r="E63" s="33" t="e">
        <f>VLOOKUP(C63,Active!C$21:E$970,3,FALSE)</f>
        <v>#N/A</v>
      </c>
      <c r="F63" s="6" t="s">
        <v>63</v>
      </c>
      <c r="G63" s="17" t="str">
        <f t="shared" si="10"/>
        <v>54719.3355</v>
      </c>
      <c r="H63" s="25">
        <f t="shared" si="11"/>
        <v>25489</v>
      </c>
      <c r="I63" s="34" t="s">
        <v>239</v>
      </c>
      <c r="J63" s="35" t="s">
        <v>240</v>
      </c>
      <c r="K63" s="34" t="s">
        <v>241</v>
      </c>
      <c r="L63" s="34" t="s">
        <v>242</v>
      </c>
      <c r="M63" s="35" t="s">
        <v>204</v>
      </c>
      <c r="N63" s="35" t="s">
        <v>232</v>
      </c>
      <c r="O63" s="36" t="s">
        <v>233</v>
      </c>
      <c r="P63" s="37" t="s">
        <v>234</v>
      </c>
    </row>
    <row r="64" spans="1:16" ht="12.75" customHeight="1" thickBot="1" x14ac:dyDescent="0.25">
      <c r="A64" s="25" t="str">
        <f t="shared" si="6"/>
        <v>BAVM 225 </v>
      </c>
      <c r="B64" s="6" t="str">
        <f t="shared" si="7"/>
        <v>II</v>
      </c>
      <c r="C64" s="25">
        <f t="shared" si="8"/>
        <v>55797.450400000002</v>
      </c>
      <c r="D64" s="17" t="str">
        <f t="shared" si="9"/>
        <v>vis</v>
      </c>
      <c r="E64" s="33">
        <f>VLOOKUP(C64,Active!C$21:E$970,3,FALSE)</f>
        <v>26881.039184578207</v>
      </c>
      <c r="F64" s="6" t="s">
        <v>63</v>
      </c>
      <c r="G64" s="17" t="str">
        <f t="shared" si="10"/>
        <v>55797.4504</v>
      </c>
      <c r="H64" s="25">
        <f t="shared" si="11"/>
        <v>26881.5</v>
      </c>
      <c r="I64" s="34" t="s">
        <v>243</v>
      </c>
      <c r="J64" s="35" t="s">
        <v>244</v>
      </c>
      <c r="K64" s="34" t="s">
        <v>245</v>
      </c>
      <c r="L64" s="34" t="s">
        <v>246</v>
      </c>
      <c r="M64" s="35" t="s">
        <v>204</v>
      </c>
      <c r="N64" s="35" t="s">
        <v>217</v>
      </c>
      <c r="O64" s="36" t="s">
        <v>247</v>
      </c>
      <c r="P64" s="37" t="s">
        <v>248</v>
      </c>
    </row>
    <row r="65" spans="1:16" ht="12.75" customHeight="1" thickBot="1" x14ac:dyDescent="0.25">
      <c r="A65" s="25" t="str">
        <f t="shared" si="6"/>
        <v>BAVM 225 </v>
      </c>
      <c r="B65" s="6" t="str">
        <f t="shared" si="7"/>
        <v>II</v>
      </c>
      <c r="C65" s="25">
        <f t="shared" si="8"/>
        <v>55835.388500000001</v>
      </c>
      <c r="D65" s="17" t="str">
        <f t="shared" si="9"/>
        <v>vis</v>
      </c>
      <c r="E65" s="33">
        <f>VLOOKUP(C65,Active!C$21:E$970,3,FALSE)</f>
        <v>26930.040443950395</v>
      </c>
      <c r="F65" s="6" t="s">
        <v>63</v>
      </c>
      <c r="G65" s="17" t="str">
        <f t="shared" si="10"/>
        <v>55835.3885</v>
      </c>
      <c r="H65" s="25">
        <f t="shared" si="11"/>
        <v>26930.5</v>
      </c>
      <c r="I65" s="34" t="s">
        <v>249</v>
      </c>
      <c r="J65" s="35" t="s">
        <v>250</v>
      </c>
      <c r="K65" s="34" t="s">
        <v>251</v>
      </c>
      <c r="L65" s="34" t="s">
        <v>252</v>
      </c>
      <c r="M65" s="35" t="s">
        <v>204</v>
      </c>
      <c r="N65" s="35" t="s">
        <v>253</v>
      </c>
      <c r="O65" s="36" t="s">
        <v>254</v>
      </c>
      <c r="P65" s="37" t="s">
        <v>248</v>
      </c>
    </row>
    <row r="66" spans="1:16" x14ac:dyDescent="0.2">
      <c r="B66" s="6"/>
      <c r="E66" s="33"/>
      <c r="F66" s="6"/>
    </row>
    <row r="67" spans="1:16" x14ac:dyDescent="0.2">
      <c r="B67" s="6"/>
      <c r="E67" s="33"/>
      <c r="F67" s="6"/>
    </row>
    <row r="68" spans="1:16" x14ac:dyDescent="0.2">
      <c r="B68" s="6"/>
      <c r="E68" s="33"/>
      <c r="F68" s="6"/>
    </row>
    <row r="69" spans="1:16" x14ac:dyDescent="0.2">
      <c r="B69" s="6"/>
      <c r="E69" s="33"/>
      <c r="F69" s="6"/>
    </row>
    <row r="70" spans="1:16" x14ac:dyDescent="0.2">
      <c r="B70" s="6"/>
      <c r="E70" s="33"/>
      <c r="F70" s="6"/>
    </row>
    <row r="71" spans="1:16" x14ac:dyDescent="0.2">
      <c r="B71" s="6"/>
      <c r="E71" s="33"/>
      <c r="F71" s="6"/>
    </row>
    <row r="72" spans="1:16" x14ac:dyDescent="0.2">
      <c r="B72" s="6"/>
      <c r="E72" s="33"/>
      <c r="F72" s="6"/>
    </row>
    <row r="73" spans="1:16" x14ac:dyDescent="0.2">
      <c r="B73" s="6"/>
      <c r="E73" s="33"/>
      <c r="F73" s="6"/>
    </row>
    <row r="74" spans="1:16" x14ac:dyDescent="0.2">
      <c r="B74" s="6"/>
      <c r="E74" s="33"/>
      <c r="F74" s="6"/>
    </row>
    <row r="75" spans="1:16" x14ac:dyDescent="0.2">
      <c r="B75" s="6"/>
      <c r="E75" s="33"/>
      <c r="F75" s="6"/>
    </row>
    <row r="76" spans="1:16" x14ac:dyDescent="0.2">
      <c r="B76" s="6"/>
      <c r="E76" s="33"/>
      <c r="F76" s="6"/>
    </row>
    <row r="77" spans="1:16" x14ac:dyDescent="0.2">
      <c r="B77" s="6"/>
      <c r="E77" s="33"/>
      <c r="F77" s="6"/>
    </row>
    <row r="78" spans="1:16" x14ac:dyDescent="0.2">
      <c r="B78" s="6"/>
      <c r="E78" s="33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</sheetData>
  <phoneticPr fontId="8" type="noConversion"/>
  <hyperlinks>
    <hyperlink ref="P59" r:id="rId1" display="http://www.bav-astro.de/sfs/BAVM_link.php?BAVMnr=39" xr:uid="{00000000-0004-0000-0100-000000000000}"/>
    <hyperlink ref="P17" r:id="rId2" display="http://www.konkoly.hu/cgi-bin/IBVS?6006" xr:uid="{00000000-0004-0000-0100-000001000000}"/>
    <hyperlink ref="P18" r:id="rId3" display="http://www.konkoly.hu/cgi-bin/IBVS?5378" xr:uid="{00000000-0004-0000-0100-000002000000}"/>
    <hyperlink ref="P19" r:id="rId4" display="http://www.bav-astro.de/sfs/BAVM_link.php?BAVMnr=178" xr:uid="{00000000-0004-0000-0100-000003000000}"/>
    <hyperlink ref="P20" r:id="rId5" display="http://www.bav-astro.de/sfs/BAVM_link.php?BAVMnr=178" xr:uid="{00000000-0004-0000-0100-000004000000}"/>
    <hyperlink ref="P21" r:id="rId6" display="http://www.bav-astro.de/sfs/BAVM_link.php?BAVMnr=178" xr:uid="{00000000-0004-0000-0100-000005000000}"/>
    <hyperlink ref="P61" r:id="rId7" display="http://var.astro.cz/oejv/issues/oejv0094.pdf" xr:uid="{00000000-0004-0000-0100-000006000000}"/>
    <hyperlink ref="P62" r:id="rId8" display="http://var.astro.cz/oejv/issues/oejv0094.pdf" xr:uid="{00000000-0004-0000-0100-000007000000}"/>
    <hyperlink ref="P63" r:id="rId9" display="http://var.astro.cz/oejv/issues/oejv0094.pdf" xr:uid="{00000000-0004-0000-0100-000008000000}"/>
    <hyperlink ref="P64" r:id="rId10" display="http://www.bav-astro.de/sfs/BAVM_link.php?BAVMnr=225" xr:uid="{00000000-0004-0000-0100-000009000000}"/>
    <hyperlink ref="P65" r:id="rId11" display="http://www.bav-astro.de/sfs/BAVM_link.php?BAVMnr=225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opLeftCell="A4" workbookViewId="0">
      <selection activeCell="F21" sqref="F21:F2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31</v>
      </c>
      <c r="C1" t="s">
        <v>32</v>
      </c>
    </row>
    <row r="2" spans="1:4" x14ac:dyDescent="0.2">
      <c r="A2" t="s">
        <v>26</v>
      </c>
      <c r="B2" t="s">
        <v>33</v>
      </c>
    </row>
    <row r="4" spans="1:4" x14ac:dyDescent="0.2">
      <c r="A4" s="8" t="s">
        <v>0</v>
      </c>
      <c r="C4" s="3">
        <v>34985.423000000003</v>
      </c>
      <c r="D4" s="4">
        <v>0.77422703999999998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34985.423000000003</v>
      </c>
    </row>
    <row r="8" spans="1:4" x14ac:dyDescent="0.2">
      <c r="A8" t="s">
        <v>3</v>
      </c>
      <c r="C8">
        <v>0.77417751677248514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INTERCEPT(G21:G998,$F21:$F998)</f>
        <v>4.539028523021728E-3</v>
      </c>
      <c r="D11" s="6"/>
    </row>
    <row r="12" spans="1:4" x14ac:dyDescent="0.2">
      <c r="A12" t="s">
        <v>17</v>
      </c>
      <c r="C12">
        <f>SLOPE(G21:G998,$F21:$F998)</f>
        <v>1.9778676895856661E-16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5" t="s">
        <v>18</v>
      </c>
      <c r="C15">
        <f>+C7+C11</f>
        <v>34985.427539028526</v>
      </c>
    </row>
    <row r="16" spans="1:4" x14ac:dyDescent="0.2">
      <c r="A16" s="8" t="s">
        <v>4</v>
      </c>
      <c r="C16">
        <f>+C8+C12</f>
        <v>0.77417751677248536</v>
      </c>
    </row>
    <row r="17" spans="1:17" ht="13.5" thickBot="1" x14ac:dyDescent="0.25"/>
    <row r="18" spans="1:17" x14ac:dyDescent="0.2">
      <c r="A18" s="8" t="s">
        <v>5</v>
      </c>
      <c r="C18" s="3">
        <f>+C15</f>
        <v>34985.427539028526</v>
      </c>
      <c r="D18" s="4">
        <f>+C16</f>
        <v>0.77417751677248536</v>
      </c>
    </row>
    <row r="19" spans="1:17" ht="13.5" thickTop="1" x14ac:dyDescent="0.2">
      <c r="C19">
        <f>COUNT(C21:C2190)</f>
        <v>9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>
        <f>+C4</f>
        <v>34985.423000000003</v>
      </c>
      <c r="D21" s="6" t="s">
        <v>14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G21</f>
        <v>0</v>
      </c>
      <c r="O21">
        <f t="shared" ref="O21:O29" si="2">+C$11+C$12*$F21</f>
        <v>4.539028523021728E-3</v>
      </c>
      <c r="Q21" s="2">
        <f t="shared" ref="Q21:Q29" si="3">+C21-15018.5</f>
        <v>19966.923000000003</v>
      </c>
    </row>
    <row r="22" spans="1:17" x14ac:dyDescent="0.2">
      <c r="A22" t="s">
        <v>34</v>
      </c>
      <c r="C22">
        <v>48475.472999999998</v>
      </c>
      <c r="D22">
        <v>8.0000000000000002E-3</v>
      </c>
      <c r="E22">
        <f t="shared" si="0"/>
        <v>17425.008745073701</v>
      </c>
      <c r="F22">
        <f t="shared" ref="F22:F29" si="4">ROUND(2*E22,0)/2</f>
        <v>17425</v>
      </c>
      <c r="G22">
        <f t="shared" si="1"/>
        <v>6.770239444449544E-3</v>
      </c>
      <c r="I22">
        <f t="shared" ref="I22:I29" si="5">+G22</f>
        <v>6.770239444449544E-3</v>
      </c>
      <c r="O22">
        <f t="shared" si="2"/>
        <v>4.5390285264681621E-3</v>
      </c>
      <c r="Q22" s="2">
        <f t="shared" si="3"/>
        <v>33456.972999999998</v>
      </c>
    </row>
    <row r="23" spans="1:17" x14ac:dyDescent="0.2">
      <c r="A23" t="s">
        <v>34</v>
      </c>
      <c r="C23">
        <v>48499.440999999999</v>
      </c>
      <c r="D23">
        <v>7.0000000000000001E-3</v>
      </c>
      <c r="E23">
        <f t="shared" si="0"/>
        <v>17455.968052830303</v>
      </c>
      <c r="F23">
        <f t="shared" si="4"/>
        <v>17456</v>
      </c>
      <c r="G23">
        <f t="shared" si="1"/>
        <v>-2.4732780504564289E-2</v>
      </c>
      <c r="I23">
        <f t="shared" si="5"/>
        <v>-2.4732780504564289E-2</v>
      </c>
      <c r="O23">
        <f t="shared" si="2"/>
        <v>4.5390285264742935E-3</v>
      </c>
      <c r="Q23" s="2">
        <f t="shared" si="3"/>
        <v>33480.940999999999</v>
      </c>
    </row>
    <row r="24" spans="1:17" x14ac:dyDescent="0.2">
      <c r="A24" t="s">
        <v>34</v>
      </c>
      <c r="C24">
        <v>49212.500999999997</v>
      </c>
      <c r="D24">
        <v>8.9999999999999993E-3</v>
      </c>
      <c r="E24">
        <f t="shared" si="0"/>
        <v>18377.022958910133</v>
      </c>
      <c r="F24">
        <f t="shared" si="4"/>
        <v>18377</v>
      </c>
      <c r="G24">
        <f t="shared" si="1"/>
        <v>1.7774272033420857E-2</v>
      </c>
      <c r="I24">
        <f t="shared" si="5"/>
        <v>1.7774272033420857E-2</v>
      </c>
      <c r="O24">
        <f t="shared" si="2"/>
        <v>4.5390285266564551E-3</v>
      </c>
      <c r="Q24" s="2">
        <f t="shared" si="3"/>
        <v>34194.000999999997</v>
      </c>
    </row>
    <row r="25" spans="1:17" x14ac:dyDescent="0.2">
      <c r="A25" t="s">
        <v>35</v>
      </c>
      <c r="B25" s="6" t="s">
        <v>40</v>
      </c>
      <c r="C25">
        <v>49546.58</v>
      </c>
      <c r="D25">
        <v>8.0000000000000002E-3</v>
      </c>
      <c r="E25">
        <f t="shared" si="0"/>
        <v>18808.550603103118</v>
      </c>
      <c r="F25">
        <f t="shared" si="4"/>
        <v>18808.5</v>
      </c>
      <c r="G25">
        <f t="shared" si="1"/>
        <v>3.9175784710096195E-2</v>
      </c>
      <c r="I25">
        <f t="shared" si="5"/>
        <v>3.9175784710096195E-2</v>
      </c>
      <c r="O25">
        <f t="shared" si="2"/>
        <v>4.5390285267418009E-3</v>
      </c>
      <c r="Q25" s="2">
        <f t="shared" si="3"/>
        <v>34528.080000000002</v>
      </c>
    </row>
    <row r="26" spans="1:17" x14ac:dyDescent="0.2">
      <c r="A26" t="s">
        <v>35</v>
      </c>
      <c r="B26" s="6"/>
      <c r="C26">
        <v>49579.491999999998</v>
      </c>
      <c r="D26">
        <v>8.0000000000000002E-3</v>
      </c>
      <c r="E26">
        <f t="shared" si="0"/>
        <v>18851.062816758204</v>
      </c>
      <c r="F26">
        <f t="shared" si="4"/>
        <v>18851</v>
      </c>
      <c r="G26">
        <f t="shared" si="1"/>
        <v>4.8631321878929157E-2</v>
      </c>
      <c r="I26">
        <f t="shared" si="5"/>
        <v>4.8631321878929157E-2</v>
      </c>
      <c r="O26">
        <f t="shared" si="2"/>
        <v>4.5390285267502065E-3</v>
      </c>
      <c r="Q26" s="2">
        <f t="shared" si="3"/>
        <v>34560.991999999998</v>
      </c>
    </row>
    <row r="27" spans="1:17" x14ac:dyDescent="0.2">
      <c r="A27" t="s">
        <v>36</v>
      </c>
      <c r="B27" s="6" t="s">
        <v>40</v>
      </c>
      <c r="C27">
        <v>49961.489000000001</v>
      </c>
      <c r="D27">
        <v>7.0000000000000001E-3</v>
      </c>
      <c r="E27">
        <f t="shared" si="0"/>
        <v>19344.485825982927</v>
      </c>
      <c r="F27">
        <f t="shared" si="4"/>
        <v>19344.5</v>
      </c>
      <c r="G27">
        <f t="shared" si="1"/>
        <v>-1.0973205338814296E-2</v>
      </c>
      <c r="I27">
        <f t="shared" si="5"/>
        <v>-1.0973205338814296E-2</v>
      </c>
      <c r="O27">
        <f t="shared" si="2"/>
        <v>4.5390285268478141E-3</v>
      </c>
      <c r="Q27" s="2">
        <f t="shared" si="3"/>
        <v>34942.989000000001</v>
      </c>
    </row>
    <row r="28" spans="1:17" x14ac:dyDescent="0.2">
      <c r="A28" t="s">
        <v>36</v>
      </c>
      <c r="B28" s="6" t="s">
        <v>40</v>
      </c>
      <c r="C28">
        <v>50133.351000000002</v>
      </c>
      <c r="D28">
        <v>3.0000000000000001E-3</v>
      </c>
      <c r="E28">
        <f t="shared" si="0"/>
        <v>19566.478839570413</v>
      </c>
      <c r="F28">
        <f t="shared" si="4"/>
        <v>19566.5</v>
      </c>
      <c r="G28">
        <f t="shared" si="1"/>
        <v>-1.6381928828195669E-2</v>
      </c>
      <c r="I28">
        <f t="shared" si="5"/>
        <v>-1.6381928828195669E-2</v>
      </c>
      <c r="O28">
        <f t="shared" si="2"/>
        <v>4.5390285268917226E-3</v>
      </c>
      <c r="Q28" s="2">
        <f t="shared" si="3"/>
        <v>35114.851000000002</v>
      </c>
    </row>
    <row r="29" spans="1:17" x14ac:dyDescent="0.2">
      <c r="A29" s="11" t="s">
        <v>37</v>
      </c>
      <c r="B29" s="16" t="s">
        <v>38</v>
      </c>
      <c r="C29" s="12">
        <v>52580.523099999999</v>
      </c>
      <c r="D29" s="13">
        <v>2.9999999999999997E-4</v>
      </c>
      <c r="E29">
        <f t="shared" si="0"/>
        <v>22727.474925070492</v>
      </c>
      <c r="F29">
        <f t="shared" si="4"/>
        <v>22727.5</v>
      </c>
      <c r="G29">
        <f t="shared" si="1"/>
        <v>-1.9412446657952387E-2</v>
      </c>
      <c r="I29">
        <f t="shared" si="5"/>
        <v>-1.9412446657952387E-2</v>
      </c>
      <c r="O29">
        <f t="shared" si="2"/>
        <v>4.5390285275169265E-3</v>
      </c>
      <c r="Q29" s="2">
        <f t="shared" si="3"/>
        <v>37562.023099999999</v>
      </c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2024-07-29T05:29:10Z</dcterms:modified>
</cp:coreProperties>
</file>