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E22484A-F43B-4CAE-8D60-2E8AE28B74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J28" i="1" s="1"/>
  <c r="Q28" i="1"/>
  <c r="C28" i="1"/>
  <c r="A28" i="1"/>
  <c r="F14" i="1"/>
  <c r="D9" i="1"/>
  <c r="C9" i="1"/>
  <c r="Q21" i="1"/>
  <c r="Q22" i="1"/>
  <c r="Q23" i="1"/>
  <c r="Q24" i="1"/>
  <c r="Q25" i="1"/>
  <c r="Q26" i="1"/>
  <c r="Q27" i="1"/>
  <c r="Q29" i="1"/>
  <c r="Q30" i="1"/>
  <c r="Q31" i="1"/>
  <c r="Q32" i="1"/>
  <c r="Q37" i="1"/>
  <c r="G15" i="2"/>
  <c r="C15" i="2"/>
  <c r="G14" i="2"/>
  <c r="C14" i="2"/>
  <c r="G27" i="2"/>
  <c r="C27" i="2"/>
  <c r="G13" i="2"/>
  <c r="C13" i="2"/>
  <c r="G12" i="2"/>
  <c r="C12" i="2"/>
  <c r="G11" i="2"/>
  <c r="C11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H15" i="2"/>
  <c r="B15" i="2"/>
  <c r="D15" i="2"/>
  <c r="A15" i="2"/>
  <c r="H14" i="2"/>
  <c r="D14" i="2"/>
  <c r="B14" i="2"/>
  <c r="A14" i="2"/>
  <c r="H27" i="2"/>
  <c r="B27" i="2"/>
  <c r="D27" i="2"/>
  <c r="A27" i="2"/>
  <c r="H13" i="2"/>
  <c r="D13" i="2"/>
  <c r="B13" i="2"/>
  <c r="A13" i="2"/>
  <c r="H12" i="2"/>
  <c r="B12" i="2"/>
  <c r="D12" i="2"/>
  <c r="A12" i="2"/>
  <c r="H11" i="2"/>
  <c r="D11" i="2"/>
  <c r="B11" i="2"/>
  <c r="A11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Q39" i="1"/>
  <c r="Q38" i="1"/>
  <c r="C17" i="1"/>
  <c r="Q34" i="1"/>
  <c r="Q35" i="1"/>
  <c r="Q36" i="1"/>
  <c r="D4" i="1"/>
  <c r="C4" i="1"/>
  <c r="B2" i="1"/>
  <c r="Q33" i="1"/>
  <c r="F15" i="1" l="1"/>
  <c r="E26" i="1"/>
  <c r="E22" i="1"/>
  <c r="E39" i="1"/>
  <c r="E33" i="1"/>
  <c r="F33" i="1" s="1"/>
  <c r="G33" i="1" s="1"/>
  <c r="E30" i="1"/>
  <c r="E24" i="1"/>
  <c r="E27" i="1"/>
  <c r="E29" i="1"/>
  <c r="E21" i="1"/>
  <c r="E34" i="1"/>
  <c r="E31" i="1"/>
  <c r="E25" i="1"/>
  <c r="E32" i="1"/>
  <c r="E36" i="1"/>
  <c r="E38" i="1"/>
  <c r="E37" i="1"/>
  <c r="E35" i="1"/>
  <c r="E23" i="1"/>
  <c r="H33" i="1" l="1"/>
  <c r="F31" i="1"/>
  <c r="G31" i="1" s="1"/>
  <c r="I31" i="1" s="1"/>
  <c r="E25" i="2"/>
  <c r="F38" i="1"/>
  <c r="G38" i="1" s="1"/>
  <c r="K38" i="1" s="1"/>
  <c r="E14" i="2"/>
  <c r="F39" i="1"/>
  <c r="G39" i="1" s="1"/>
  <c r="K39" i="1" s="1"/>
  <c r="E15" i="2"/>
  <c r="E11" i="2"/>
  <c r="F34" i="1"/>
  <c r="G34" i="1" s="1"/>
  <c r="E27" i="2"/>
  <c r="F37" i="1"/>
  <c r="G37" i="1" s="1"/>
  <c r="K37" i="1" s="1"/>
  <c r="E22" i="2"/>
  <c r="F27" i="1"/>
  <c r="G27" i="1" s="1"/>
  <c r="I27" i="1" s="1"/>
  <c r="F23" i="1"/>
  <c r="G23" i="1" s="1"/>
  <c r="I23" i="1" s="1"/>
  <c r="E18" i="2"/>
  <c r="F36" i="1"/>
  <c r="G36" i="1" s="1"/>
  <c r="K36" i="1" s="1"/>
  <c r="E13" i="2"/>
  <c r="E16" i="2"/>
  <c r="F21" i="1"/>
  <c r="G21" i="1" s="1"/>
  <c r="I21" i="1" s="1"/>
  <c r="E24" i="2"/>
  <c r="F30" i="1"/>
  <c r="G30" i="1" s="1"/>
  <c r="I30" i="1" s="1"/>
  <c r="E12" i="2"/>
  <c r="F35" i="1"/>
  <c r="G35" i="1" s="1"/>
  <c r="K35" i="1" s="1"/>
  <c r="F22" i="1"/>
  <c r="G22" i="1" s="1"/>
  <c r="I22" i="1" s="1"/>
  <c r="E17" i="2"/>
  <c r="F24" i="1"/>
  <c r="G24" i="1" s="1"/>
  <c r="I24" i="1" s="1"/>
  <c r="E19" i="2"/>
  <c r="F32" i="1"/>
  <c r="G32" i="1" s="1"/>
  <c r="I32" i="1" s="1"/>
  <c r="E26" i="2"/>
  <c r="E20" i="2"/>
  <c r="F25" i="1"/>
  <c r="G25" i="1" s="1"/>
  <c r="I25" i="1" s="1"/>
  <c r="F29" i="1"/>
  <c r="G29" i="1" s="1"/>
  <c r="I29" i="1" s="1"/>
  <c r="E23" i="2"/>
  <c r="F26" i="1"/>
  <c r="G26" i="1" s="1"/>
  <c r="I26" i="1" s="1"/>
  <c r="E21" i="2"/>
  <c r="C11" i="1"/>
  <c r="C12" i="1"/>
  <c r="O28" i="1" l="1"/>
  <c r="C16" i="1"/>
  <c r="D18" i="1" s="1"/>
  <c r="O25" i="1"/>
  <c r="O32" i="1"/>
  <c r="O39" i="1"/>
  <c r="O22" i="1"/>
  <c r="O37" i="1"/>
  <c r="O34" i="1"/>
  <c r="O24" i="1"/>
  <c r="O31" i="1"/>
  <c r="C15" i="1"/>
  <c r="O38" i="1"/>
  <c r="O33" i="1"/>
  <c r="O23" i="1"/>
  <c r="O36" i="1"/>
  <c r="O21" i="1"/>
  <c r="O29" i="1"/>
  <c r="O35" i="1"/>
  <c r="O26" i="1"/>
  <c r="O27" i="1"/>
  <c r="O30" i="1"/>
  <c r="K34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<sst xmlns="http://schemas.openxmlformats.org/spreadsheetml/2006/main" count="221" uniqueCount="125">
  <si>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</si>
  <si>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</si>
  <si>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</si>
  <si>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</si>
  <si>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</si>
  <si>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</si>
  <si>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</si>
  <si>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</si>
  <si>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</si>
  <si>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</si>
  <si>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</si>
  <si>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</si>
  <si>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</si>
  <si>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</si>
  <si>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</si>
  <si>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</si>
  <si>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</si>
  <si>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</si>
  <si>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</si>
  <si>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</si>
  <si>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</si>
  <si>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</si>
  <si>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</si>
  <si>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</si>
  <si>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</si>
  <si>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</si>
  <si>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</si>
  <si>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</si>
  <si>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</si>
  <si>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</si>
  <si>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</si>
  <si>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</si>
  <si>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</si>
  <si>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</si>
  <si>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</si>
  <si>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IW Vul / GSC 2146-2566 </t>
  </si>
  <si>
    <t>EA</t>
  </si>
  <si>
    <t>IBVS 5731</t>
  </si>
  <si>
    <t>Add cycle</t>
  </si>
  <si>
    <t>Old Cycle</t>
  </si>
  <si>
    <t>IBVS 5959</t>
  </si>
  <si>
    <t>II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</si>
  <si>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</si>
  <si>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</si>
  <si>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</si>
  <si>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</si>
  <si>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</si>
  <si>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</si>
  <si>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</si>
  <si>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</si>
  <si>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</si>
  <si>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</si>
  <si>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</si>
  <si>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</si>
  <si>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</si>
  <si>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2433391.534 </t>
  </si>
  <si>
    <t> 20.04.1950 00:48 </t>
  </si>
  <si>
    <t> 0.015 </t>
  </si>
  <si>
    <t>P </t>
  </si>
  <si>
    <t> A.A.Wachmann </t>
  </si>
  <si>
    <t> AHSB 6.4.314 </t>
  </si>
  <si>
    <t>2433498.409 </t>
  </si>
  <si>
    <t> 04.08.1950 21:48 </t>
  </si>
  <si>
    <t>2434150.460 </t>
  </si>
  <si>
    <t> 17.05.1952 23:02 </t>
  </si>
  <si>
    <t> 0.004 </t>
  </si>
  <si>
    <t>2434601.535 </t>
  </si>
  <si>
    <t> 12.08.1953 00:50 </t>
  </si>
  <si>
    <t> -0.007 </t>
  </si>
  <si>
    <t>2434629.335 </t>
  </si>
  <si>
    <t> 08.09.1953 20:02 </t>
  </si>
  <si>
    <t> 0.001 </t>
  </si>
  <si>
    <t>2435161.637 </t>
  </si>
  <si>
    <t> 23.02.1955 03:17 </t>
  </si>
  <si>
    <t> -0.021 </t>
  </si>
  <si>
    <t>2435373.306 </t>
  </si>
  <si>
    <t> 22.09.1955 19:20 </t>
  </si>
  <si>
    <t>2436816.350 </t>
  </si>
  <si>
    <t> 04.09.1959 20:24 </t>
  </si>
  <si>
    <t>2436818.500 </t>
  </si>
  <si>
    <t> 07.09.1959 00:00 </t>
  </si>
  <si>
    <t> 0.009 </t>
  </si>
  <si>
    <t>2436846.295 </t>
  </si>
  <si>
    <t> 04.10.1959 19:04 </t>
  </si>
  <si>
    <t> 0.012 </t>
  </si>
  <si>
    <t>2436848.430 </t>
  </si>
  <si>
    <t> 06.10.1959 22:19 </t>
  </si>
  <si>
    <t>2453612.3404 </t>
  </si>
  <si>
    <t> 29.08.2005 20:10 </t>
  </si>
  <si>
    <t> -0.0208 </t>
  </si>
  <si>
    <t>C </t>
  </si>
  <si>
    <t>-I</t>
  </si>
  <si>
    <t> F.Agerer </t>
  </si>
  <si>
    <t>BAVM 178 </t>
  </si>
  <si>
    <t>2453614.4735 </t>
  </si>
  <si>
    <t> 31.08.2005 23:21 </t>
  </si>
  <si>
    <t>8631.5</t>
  </si>
  <si>
    <t> -0.0256 </t>
  </si>
  <si>
    <t>2453658.3009 </t>
  </si>
  <si>
    <t> 14.10.2005 19:13 </t>
  </si>
  <si>
    <t>8652</t>
  </si>
  <si>
    <t> -0.0241 </t>
  </si>
  <si>
    <t> P.Frank </t>
  </si>
  <si>
    <t>2454685.5125 </t>
  </si>
  <si>
    <t> 07.08.2008 00:18 </t>
  </si>
  <si>
    <t>9132.5</t>
  </si>
  <si>
    <t> -0.0488 </t>
  </si>
  <si>
    <t>BAVM 203 </t>
  </si>
  <si>
    <t>2455352.5175 </t>
  </si>
  <si>
    <t> 05.06.2010 00:25 </t>
  </si>
  <si>
    <t>9444.5</t>
  </si>
  <si>
    <t> -0.0525 </t>
  </si>
  <si>
    <t>BAVM 214 </t>
  </si>
  <si>
    <t>2455430.5477 </t>
  </si>
  <si>
    <t> 22.08.2010 01:08 </t>
  </si>
  <si>
    <t>9481</t>
  </si>
  <si>
    <t> -0.0538 </t>
  </si>
  <si>
    <t>BAVM 215 </t>
  </si>
  <si>
    <t>PE?</t>
  </si>
  <si>
    <t xml:space="preserve">Mag p </t>
  </si>
  <si>
    <t>12.9-13.3</t>
  </si>
  <si>
    <t>VSX</t>
  </si>
  <si>
    <t>Next ToM-P</t>
  </si>
  <si>
    <t>Next ToM-S</t>
  </si>
  <si>
    <t>AHSB 6.4.314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</si>
</sst>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6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/>
    <xf numFmtId="0" fontId="19" fillId="3" borderId="12" xfId="0" applyFont="1" applyFill="1" applyBorder="1" applyAlignment="1">
      <alignment horizontal="right" vertical="center"/>
    </xf>
    <xf numFmtId="0" fontId="19" fillId="3" borderId="13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right" vertical="center"/>
    </xf>
    <xf numFmtId="0" fontId="21" fillId="0" borderId="15" xfId="0" applyFont="1" applyBorder="1" applyAlignment="1">
      <alignment vertical="center"/>
    </xf>
    <xf numFmtId="0" fontId="22" fillId="0" borderId="15" xfId="0" applyFont="1" applyBorder="1" applyAlignment="1">
      <alignment horizontal="right" vertical="center"/>
    </xf>
    <xf numFmtId="22" fontId="22" fillId="0" borderId="15" xfId="0" applyNumberFormat="1" applyFont="1" applyBorder="1" applyAlignment="1">
      <alignment horizontal="right" vertical="center"/>
    </xf>
    <xf numFmtId="22" fontId="22" fillId="0" borderId="16" xfId="0" applyNumberFormat="1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IW Vul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3">
                    <c:v>4.0000000000000002E-4</c:v>
                  </c:pt>
                  <c:pt idx="14">
                    <c:v>1.6999999999999999E-3</c:v>
                  </c:pt>
                  <c:pt idx="15">
                    <c:v>1.1999999999999999E-3</c:v>
                  </c:pt>
                  <c:pt idx="17">
                    <c:v>5.9999999999999995E-4</c:v>
                  </c:pt>
                  <c:pt idx="18">
                    <c:v>4.0000000000000001E-3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3">
                    <c:v>4.0000000000000002E-4</c:v>
                  </c:pt>
                  <c:pt idx="14">
                    <c:v>1.6999999999999999E-3</c:v>
                  </c:pt>
                  <c:pt idx="15">
                    <c:v>1.1999999999999999E-3</c:v>
                  </c:pt>
                  <c:pt idx="17">
                    <c:v>5.9999999999999995E-4</c:v>
                  </c:pt>
                  <c:pt idx="1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-828</c:v>
                </c:pt>
                <c:pt idx="1">
                  <c:v>-778</c:v>
                </c:pt>
                <c:pt idx="2">
                  <c:v>-473</c:v>
                </c:pt>
                <c:pt idx="3">
                  <c:v>-262</c:v>
                </c:pt>
                <c:pt idx="4">
                  <c:v>-249</c:v>
                </c:pt>
                <c:pt idx="5">
                  <c:v>0</c:v>
                </c:pt>
                <c:pt idx="6">
                  <c:v>99</c:v>
                </c:pt>
                <c:pt idx="7">
                  <c:v>0</c:v>
                </c:pt>
                <c:pt idx="8">
                  <c:v>774</c:v>
                </c:pt>
                <c:pt idx="9">
                  <c:v>775</c:v>
                </c:pt>
                <c:pt idx="10">
                  <c:v>788</c:v>
                </c:pt>
                <c:pt idx="11">
                  <c:v>789</c:v>
                </c:pt>
                <c:pt idx="12">
                  <c:v>8111</c:v>
                </c:pt>
                <c:pt idx="13">
                  <c:v>8630.5</c:v>
                </c:pt>
                <c:pt idx="14">
                  <c:v>8631.5</c:v>
                </c:pt>
                <c:pt idx="15">
                  <c:v>8652</c:v>
                </c:pt>
                <c:pt idx="16">
                  <c:v>9132.5</c:v>
                </c:pt>
                <c:pt idx="17">
                  <c:v>9444.5</c:v>
                </c:pt>
                <c:pt idx="18">
                  <c:v>9481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2">
                  <c:v>-2.1805700002005324E-2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7C-4D6B-9839-772D21AE2E5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3">
                    <c:v>4.0000000000000002E-4</c:v>
                  </c:pt>
                  <c:pt idx="14">
                    <c:v>1.6999999999999999E-3</c:v>
                  </c:pt>
                  <c:pt idx="15">
                    <c:v>1.1999999999999999E-3</c:v>
                  </c:pt>
                  <c:pt idx="17">
                    <c:v>5.9999999999999995E-4</c:v>
                  </c:pt>
                  <c:pt idx="18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3">
                    <c:v>4.0000000000000002E-4</c:v>
                  </c:pt>
                  <c:pt idx="14">
                    <c:v>1.6999999999999999E-3</c:v>
                  </c:pt>
                  <c:pt idx="15">
                    <c:v>1.1999999999999999E-3</c:v>
                  </c:pt>
                  <c:pt idx="17">
                    <c:v>5.9999999999999995E-4</c:v>
                  </c:pt>
                  <c:pt idx="1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-828</c:v>
                </c:pt>
                <c:pt idx="1">
                  <c:v>-778</c:v>
                </c:pt>
                <c:pt idx="2">
                  <c:v>-473</c:v>
                </c:pt>
                <c:pt idx="3">
                  <c:v>-262</c:v>
                </c:pt>
                <c:pt idx="4">
                  <c:v>-249</c:v>
                </c:pt>
                <c:pt idx="5">
                  <c:v>0</c:v>
                </c:pt>
                <c:pt idx="6">
                  <c:v>99</c:v>
                </c:pt>
                <c:pt idx="7">
                  <c:v>0</c:v>
                </c:pt>
                <c:pt idx="8">
                  <c:v>774</c:v>
                </c:pt>
                <c:pt idx="9">
                  <c:v>775</c:v>
                </c:pt>
                <c:pt idx="10">
                  <c:v>788</c:v>
                </c:pt>
                <c:pt idx="11">
                  <c:v>789</c:v>
                </c:pt>
                <c:pt idx="12">
                  <c:v>8111</c:v>
                </c:pt>
                <c:pt idx="13">
                  <c:v>8630.5</c:v>
                </c:pt>
                <c:pt idx="14">
                  <c:v>8631.5</c:v>
                </c:pt>
                <c:pt idx="15">
                  <c:v>8652</c:v>
                </c:pt>
                <c:pt idx="16">
                  <c:v>9132.5</c:v>
                </c:pt>
                <c:pt idx="17">
                  <c:v>9444.5</c:v>
                </c:pt>
                <c:pt idx="18">
                  <c:v>9481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1.4723599997523706E-2</c:v>
                </c:pt>
                <c:pt idx="1">
                  <c:v>-2.7114000040455721E-3</c:v>
                </c:pt>
                <c:pt idx="2">
                  <c:v>4.4350999960443005E-3</c:v>
                </c:pt>
                <c:pt idx="3">
                  <c:v>-6.6405999968992546E-3</c:v>
                </c:pt>
                <c:pt idx="4">
                  <c:v>1.3262999927974306E-3</c:v>
                </c:pt>
                <c:pt idx="5">
                  <c:v>-2.1000000000640284E-2</c:v>
                </c:pt>
                <c:pt idx="6">
                  <c:v>9.7869999444810674E-4</c:v>
                </c:pt>
                <c:pt idx="8">
                  <c:v>-2.8938000032212585E-3</c:v>
                </c:pt>
                <c:pt idx="9">
                  <c:v>9.2574999944190495E-3</c:v>
                </c:pt>
                <c:pt idx="10">
                  <c:v>1.2224399994011037E-2</c:v>
                </c:pt>
                <c:pt idx="11">
                  <c:v>9.3756999995093793E-3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7C-4D6B-9839-772D21AE2E5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3">
                    <c:v>4.0000000000000002E-4</c:v>
                  </c:pt>
                  <c:pt idx="14">
                    <c:v>1.6999999999999999E-3</c:v>
                  </c:pt>
                  <c:pt idx="15">
                    <c:v>1.1999999999999999E-3</c:v>
                  </c:pt>
                  <c:pt idx="17">
                    <c:v>5.9999999999999995E-4</c:v>
                  </c:pt>
                  <c:pt idx="18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3">
                    <c:v>4.0000000000000002E-4</c:v>
                  </c:pt>
                  <c:pt idx="14">
                    <c:v>1.6999999999999999E-3</c:v>
                  </c:pt>
                  <c:pt idx="15">
                    <c:v>1.1999999999999999E-3</c:v>
                  </c:pt>
                  <c:pt idx="17">
                    <c:v>5.9999999999999995E-4</c:v>
                  </c:pt>
                  <c:pt idx="1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-828</c:v>
                </c:pt>
                <c:pt idx="1">
                  <c:v>-778</c:v>
                </c:pt>
                <c:pt idx="2">
                  <c:v>-473</c:v>
                </c:pt>
                <c:pt idx="3">
                  <c:v>-262</c:v>
                </c:pt>
                <c:pt idx="4">
                  <c:v>-249</c:v>
                </c:pt>
                <c:pt idx="5">
                  <c:v>0</c:v>
                </c:pt>
                <c:pt idx="6">
                  <c:v>99</c:v>
                </c:pt>
                <c:pt idx="7">
                  <c:v>0</c:v>
                </c:pt>
                <c:pt idx="8">
                  <c:v>774</c:v>
                </c:pt>
                <c:pt idx="9">
                  <c:v>775</c:v>
                </c:pt>
                <c:pt idx="10">
                  <c:v>788</c:v>
                </c:pt>
                <c:pt idx="11">
                  <c:v>789</c:v>
                </c:pt>
                <c:pt idx="12">
                  <c:v>8111</c:v>
                </c:pt>
                <c:pt idx="13">
                  <c:v>8630.5</c:v>
                </c:pt>
                <c:pt idx="14">
                  <c:v>8631.5</c:v>
                </c:pt>
                <c:pt idx="15">
                  <c:v>8652</c:v>
                </c:pt>
                <c:pt idx="16">
                  <c:v>9132.5</c:v>
                </c:pt>
                <c:pt idx="17">
                  <c:v>9444.5</c:v>
                </c:pt>
                <c:pt idx="18">
                  <c:v>9481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7C-4D6B-9839-772D21AE2E5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3">
                    <c:v>4.0000000000000002E-4</c:v>
                  </c:pt>
                  <c:pt idx="14">
                    <c:v>1.6999999999999999E-3</c:v>
                  </c:pt>
                  <c:pt idx="15">
                    <c:v>1.1999999999999999E-3</c:v>
                  </c:pt>
                  <c:pt idx="17">
                    <c:v>5.9999999999999995E-4</c:v>
                  </c:pt>
                  <c:pt idx="18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3">
                    <c:v>4.0000000000000002E-4</c:v>
                  </c:pt>
                  <c:pt idx="14">
                    <c:v>1.6999999999999999E-3</c:v>
                  </c:pt>
                  <c:pt idx="15">
                    <c:v>1.1999999999999999E-3</c:v>
                  </c:pt>
                  <c:pt idx="17">
                    <c:v>5.9999999999999995E-4</c:v>
                  </c:pt>
                  <c:pt idx="1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-828</c:v>
                </c:pt>
                <c:pt idx="1">
                  <c:v>-778</c:v>
                </c:pt>
                <c:pt idx="2">
                  <c:v>-473</c:v>
                </c:pt>
                <c:pt idx="3">
                  <c:v>-262</c:v>
                </c:pt>
                <c:pt idx="4">
                  <c:v>-249</c:v>
                </c:pt>
                <c:pt idx="5">
                  <c:v>0</c:v>
                </c:pt>
                <c:pt idx="6">
                  <c:v>99</c:v>
                </c:pt>
                <c:pt idx="7">
                  <c:v>0</c:v>
                </c:pt>
                <c:pt idx="8">
                  <c:v>774</c:v>
                </c:pt>
                <c:pt idx="9">
                  <c:v>775</c:v>
                </c:pt>
                <c:pt idx="10">
                  <c:v>788</c:v>
                </c:pt>
                <c:pt idx="11">
                  <c:v>789</c:v>
                </c:pt>
                <c:pt idx="12">
                  <c:v>8111</c:v>
                </c:pt>
                <c:pt idx="13">
                  <c:v>8630.5</c:v>
                </c:pt>
                <c:pt idx="14">
                  <c:v>8631.5</c:v>
                </c:pt>
                <c:pt idx="15">
                  <c:v>8652</c:v>
                </c:pt>
                <c:pt idx="16">
                  <c:v>9132.5</c:v>
                </c:pt>
                <c:pt idx="17">
                  <c:v>9444.5</c:v>
                </c:pt>
                <c:pt idx="18">
                  <c:v>9481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13">
                  <c:v>-2.0805350002774503E-2</c:v>
                </c:pt>
                <c:pt idx="14">
                  <c:v>-2.5554050000209827E-2</c:v>
                </c:pt>
                <c:pt idx="15">
                  <c:v>-2.4052400003711227E-2</c:v>
                </c:pt>
                <c:pt idx="16">
                  <c:v>-4.8752750008134171E-2</c:v>
                </c:pt>
                <c:pt idx="17">
                  <c:v>-5.2547150000464171E-2</c:v>
                </c:pt>
                <c:pt idx="18">
                  <c:v>-5.3824700000404846E-2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7C-4D6B-9839-772D21AE2E5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3">
                    <c:v>4.0000000000000002E-4</c:v>
                  </c:pt>
                  <c:pt idx="14">
                    <c:v>1.6999999999999999E-3</c:v>
                  </c:pt>
                  <c:pt idx="15">
                    <c:v>1.1999999999999999E-3</c:v>
                  </c:pt>
                  <c:pt idx="17">
                    <c:v>5.9999999999999995E-4</c:v>
                  </c:pt>
                  <c:pt idx="18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3">
                    <c:v>4.0000000000000002E-4</c:v>
                  </c:pt>
                  <c:pt idx="14">
                    <c:v>1.6999999999999999E-3</c:v>
                  </c:pt>
                  <c:pt idx="15">
                    <c:v>1.1999999999999999E-3</c:v>
                  </c:pt>
                  <c:pt idx="17">
                    <c:v>5.9999999999999995E-4</c:v>
                  </c:pt>
                  <c:pt idx="1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-828</c:v>
                </c:pt>
                <c:pt idx="1">
                  <c:v>-778</c:v>
                </c:pt>
                <c:pt idx="2">
                  <c:v>-473</c:v>
                </c:pt>
                <c:pt idx="3">
                  <c:v>-262</c:v>
                </c:pt>
                <c:pt idx="4">
                  <c:v>-249</c:v>
                </c:pt>
                <c:pt idx="5">
                  <c:v>0</c:v>
                </c:pt>
                <c:pt idx="6">
                  <c:v>99</c:v>
                </c:pt>
                <c:pt idx="7">
                  <c:v>0</c:v>
                </c:pt>
                <c:pt idx="8">
                  <c:v>774</c:v>
                </c:pt>
                <c:pt idx="9">
                  <c:v>775</c:v>
                </c:pt>
                <c:pt idx="10">
                  <c:v>788</c:v>
                </c:pt>
                <c:pt idx="11">
                  <c:v>789</c:v>
                </c:pt>
                <c:pt idx="12">
                  <c:v>8111</c:v>
                </c:pt>
                <c:pt idx="13">
                  <c:v>8630.5</c:v>
                </c:pt>
                <c:pt idx="14">
                  <c:v>8631.5</c:v>
                </c:pt>
                <c:pt idx="15">
                  <c:v>8652</c:v>
                </c:pt>
                <c:pt idx="16">
                  <c:v>9132.5</c:v>
                </c:pt>
                <c:pt idx="17">
                  <c:v>9444.5</c:v>
                </c:pt>
                <c:pt idx="18">
                  <c:v>9481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7C-4D6B-9839-772D21AE2E5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3">
                    <c:v>4.0000000000000002E-4</c:v>
                  </c:pt>
                  <c:pt idx="14">
                    <c:v>1.6999999999999999E-3</c:v>
                  </c:pt>
                  <c:pt idx="15">
                    <c:v>1.1999999999999999E-3</c:v>
                  </c:pt>
                  <c:pt idx="17">
                    <c:v>5.9999999999999995E-4</c:v>
                  </c:pt>
                  <c:pt idx="18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3">
                    <c:v>4.0000000000000002E-4</c:v>
                  </c:pt>
                  <c:pt idx="14">
                    <c:v>1.6999999999999999E-3</c:v>
                  </c:pt>
                  <c:pt idx="15">
                    <c:v>1.1999999999999999E-3</c:v>
                  </c:pt>
                  <c:pt idx="17">
                    <c:v>5.9999999999999995E-4</c:v>
                  </c:pt>
                  <c:pt idx="1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-828</c:v>
                </c:pt>
                <c:pt idx="1">
                  <c:v>-778</c:v>
                </c:pt>
                <c:pt idx="2">
                  <c:v>-473</c:v>
                </c:pt>
                <c:pt idx="3">
                  <c:v>-262</c:v>
                </c:pt>
                <c:pt idx="4">
                  <c:v>-249</c:v>
                </c:pt>
                <c:pt idx="5">
                  <c:v>0</c:v>
                </c:pt>
                <c:pt idx="6">
                  <c:v>99</c:v>
                </c:pt>
                <c:pt idx="7">
                  <c:v>0</c:v>
                </c:pt>
                <c:pt idx="8">
                  <c:v>774</c:v>
                </c:pt>
                <c:pt idx="9">
                  <c:v>775</c:v>
                </c:pt>
                <c:pt idx="10">
                  <c:v>788</c:v>
                </c:pt>
                <c:pt idx="11">
                  <c:v>789</c:v>
                </c:pt>
                <c:pt idx="12">
                  <c:v>8111</c:v>
                </c:pt>
                <c:pt idx="13">
                  <c:v>8630.5</c:v>
                </c:pt>
                <c:pt idx="14">
                  <c:v>8631.5</c:v>
                </c:pt>
                <c:pt idx="15">
                  <c:v>8652</c:v>
                </c:pt>
                <c:pt idx="16">
                  <c:v>9132.5</c:v>
                </c:pt>
                <c:pt idx="17">
                  <c:v>9444.5</c:v>
                </c:pt>
                <c:pt idx="18">
                  <c:v>9481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7C-4D6B-9839-772D21AE2E5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3">
                    <c:v>4.0000000000000002E-4</c:v>
                  </c:pt>
                  <c:pt idx="14">
                    <c:v>1.6999999999999999E-3</c:v>
                  </c:pt>
                  <c:pt idx="15">
                    <c:v>1.1999999999999999E-3</c:v>
                  </c:pt>
                  <c:pt idx="17">
                    <c:v>5.9999999999999995E-4</c:v>
                  </c:pt>
                  <c:pt idx="18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3">
                    <c:v>4.0000000000000002E-4</c:v>
                  </c:pt>
                  <c:pt idx="14">
                    <c:v>1.6999999999999999E-3</c:v>
                  </c:pt>
                  <c:pt idx="15">
                    <c:v>1.1999999999999999E-3</c:v>
                  </c:pt>
                  <c:pt idx="17">
                    <c:v>5.9999999999999995E-4</c:v>
                  </c:pt>
                  <c:pt idx="18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-828</c:v>
                </c:pt>
                <c:pt idx="1">
                  <c:v>-778</c:v>
                </c:pt>
                <c:pt idx="2">
                  <c:v>-473</c:v>
                </c:pt>
                <c:pt idx="3">
                  <c:v>-262</c:v>
                </c:pt>
                <c:pt idx="4">
                  <c:v>-249</c:v>
                </c:pt>
                <c:pt idx="5">
                  <c:v>0</c:v>
                </c:pt>
                <c:pt idx="6">
                  <c:v>99</c:v>
                </c:pt>
                <c:pt idx="7">
                  <c:v>0</c:v>
                </c:pt>
                <c:pt idx="8">
                  <c:v>774</c:v>
                </c:pt>
                <c:pt idx="9">
                  <c:v>775</c:v>
                </c:pt>
                <c:pt idx="10">
                  <c:v>788</c:v>
                </c:pt>
                <c:pt idx="11">
                  <c:v>789</c:v>
                </c:pt>
                <c:pt idx="12">
                  <c:v>8111</c:v>
                </c:pt>
                <c:pt idx="13">
                  <c:v>8630.5</c:v>
                </c:pt>
                <c:pt idx="14">
                  <c:v>8631.5</c:v>
                </c:pt>
                <c:pt idx="15">
                  <c:v>8652</c:v>
                </c:pt>
                <c:pt idx="16">
                  <c:v>9132.5</c:v>
                </c:pt>
                <c:pt idx="17">
                  <c:v>9444.5</c:v>
                </c:pt>
                <c:pt idx="18">
                  <c:v>9481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7C-4D6B-9839-772D21AE2E5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-828</c:v>
                </c:pt>
                <c:pt idx="1">
                  <c:v>-778</c:v>
                </c:pt>
                <c:pt idx="2">
                  <c:v>-473</c:v>
                </c:pt>
                <c:pt idx="3">
                  <c:v>-262</c:v>
                </c:pt>
                <c:pt idx="4">
                  <c:v>-249</c:v>
                </c:pt>
                <c:pt idx="5">
                  <c:v>0</c:v>
                </c:pt>
                <c:pt idx="6">
                  <c:v>99</c:v>
                </c:pt>
                <c:pt idx="7">
                  <c:v>0</c:v>
                </c:pt>
                <c:pt idx="8">
                  <c:v>774</c:v>
                </c:pt>
                <c:pt idx="9">
                  <c:v>775</c:v>
                </c:pt>
                <c:pt idx="10">
                  <c:v>788</c:v>
                </c:pt>
                <c:pt idx="11">
                  <c:v>789</c:v>
                </c:pt>
                <c:pt idx="12">
                  <c:v>8111</c:v>
                </c:pt>
                <c:pt idx="13">
                  <c:v>8630.5</c:v>
                </c:pt>
                <c:pt idx="14">
                  <c:v>8631.5</c:v>
                </c:pt>
                <c:pt idx="15">
                  <c:v>8652</c:v>
                </c:pt>
                <c:pt idx="16">
                  <c:v>9132.5</c:v>
                </c:pt>
                <c:pt idx="17">
                  <c:v>9444.5</c:v>
                </c:pt>
                <c:pt idx="18">
                  <c:v>9481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2.34926897033708E-2</c:v>
                </c:pt>
                <c:pt idx="1">
                  <c:v>2.3186263493484502E-2</c:v>
                </c:pt>
                <c:pt idx="2">
                  <c:v>2.1317063613178096E-2</c:v>
                </c:pt>
                <c:pt idx="3">
                  <c:v>2.0023945007457924E-2</c:v>
                </c:pt>
                <c:pt idx="4">
                  <c:v>1.9944274192887489E-2</c:v>
                </c:pt>
                <c:pt idx="5">
                  <c:v>1.8418271667653731E-2</c:v>
                </c:pt>
                <c:pt idx="6">
                  <c:v>1.7811547772078863E-2</c:v>
                </c:pt>
                <c:pt idx="7">
                  <c:v>1.8418271667653731E-2</c:v>
                </c:pt>
                <c:pt idx="8">
                  <c:v>1.3674793938613863E-2</c:v>
                </c:pt>
                <c:pt idx="9">
                  <c:v>1.3668665414416137E-2</c:v>
                </c:pt>
                <c:pt idx="10">
                  <c:v>1.3588994599845701E-2</c:v>
                </c:pt>
                <c:pt idx="11">
                  <c:v>1.3582866075647973E-2</c:v>
                </c:pt>
                <c:pt idx="12">
                  <c:v>-3.1290188100101271E-2</c:v>
                </c:pt>
                <c:pt idx="13">
                  <c:v>-3.4473956420819886E-2</c:v>
                </c:pt>
                <c:pt idx="14">
                  <c:v>-3.4480084945017614E-2</c:v>
                </c:pt>
                <c:pt idx="15">
                  <c:v>-3.4605719691070999E-2</c:v>
                </c:pt>
                <c:pt idx="16">
                  <c:v>-3.7550475568078306E-2</c:v>
                </c:pt>
                <c:pt idx="17">
                  <c:v>-3.9462575117768794E-2</c:v>
                </c:pt>
                <c:pt idx="18">
                  <c:v>-3.9686266250985792E-2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7C-4D6B-9839-772D21AE2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265744"/>
        <c:axId val="1"/>
      </c:scatterChart>
      <c:valAx>
        <c:axId val="661265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265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07518796992482"/>
          <c:y val="0.92397937099967764"/>
          <c:w val="0.6676691729323309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9525</xdr:rowOff>
    </xdr:from>
    <xdr:to>
      <xdr:col>17</xdr:col>
      <xdr:colOff>190500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4B0BDCF-81AF-2C11-CD2B-73E100F70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78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bav-astro.de/sfs/BAVM_link.php?BAVMnr=178" TargetMode="External"/><Relationship Id="rId6" Type="http://schemas.openxmlformats.org/officeDocument/2006/relationships/hyperlink" Target="http://www.bav-astro.de/sfs/BAVM_link.php?BAVMnr=215" TargetMode="External"/><Relationship Id="rId5" Type="http://schemas.openxmlformats.org/officeDocument/2006/relationships/hyperlink" Target="http://www.bav-astro.de/sfs/BAVM_link.php?BAVMnr=214" TargetMode="External"/><Relationship Id="rId4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42578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6384" width="10.28515625" style="26"/>
  </cols>
  <sheetData>
    <row r="1" spans="1:8" s="26" customFormat="1" ht="20.25" x14ac:dyDescent="0.2">
      <c r="A1" s="53" t="s">
        <v>35</v>
      </c>
      <c r="F1" s="27">
        <v>52501.726999999999</v>
      </c>
      <c r="G1" s="27">
        <v>2.1378458999999999</v>
      </c>
      <c r="H1" s="27" t="s">
        <v>36</v>
      </c>
    </row>
    <row r="2" spans="1:8" s="26" customFormat="1" ht="12.95" customHeight="1" x14ac:dyDescent="0.2">
      <c r="A2" s="26" t="s">
        <v>22</v>
      </c>
      <c r="B2" s="26" t="str">
        <f>H1</f>
        <v>EA</v>
      </c>
      <c r="C2" s="27"/>
    </row>
    <row r="3" spans="1:8" s="26" customFormat="1" ht="12.95" customHeight="1" thickBot="1" x14ac:dyDescent="0.25"/>
    <row r="4" spans="1:8" s="26" customFormat="1" ht="12.95" customHeight="1" thickTop="1" thickBot="1" x14ac:dyDescent="0.25">
      <c r="A4" s="28" t="s">
        <v>34</v>
      </c>
      <c r="C4" s="29">
        <f>F1</f>
        <v>52501.726999999999</v>
      </c>
      <c r="D4" s="30">
        <f>G1</f>
        <v>2.1378458999999999</v>
      </c>
    </row>
    <row r="5" spans="1:8" s="26" customFormat="1" ht="12.95" customHeight="1" thickTop="1" x14ac:dyDescent="0.2">
      <c r="A5" s="31" t="s">
        <v>27</v>
      </c>
      <c r="C5" s="32">
        <v>-9.5</v>
      </c>
      <c r="D5" s="26" t="s">
        <v>28</v>
      </c>
    </row>
    <row r="6" spans="1:8" s="26" customFormat="1" ht="12.95" customHeight="1" x14ac:dyDescent="0.2">
      <c r="A6" s="28" t="s">
        <v>0</v>
      </c>
    </row>
    <row r="7" spans="1:8" s="26" customFormat="1" ht="12.95" customHeight="1" x14ac:dyDescent="0.2">
      <c r="A7" s="26" t="s">
        <v>1</v>
      </c>
      <c r="C7" s="26">
        <v>35161.658000000003</v>
      </c>
      <c r="D7" s="54" t="s">
        <v>121</v>
      </c>
    </row>
    <row r="8" spans="1:8" s="26" customFormat="1" ht="12.95" customHeight="1" x14ac:dyDescent="0.2">
      <c r="A8" s="26" t="s">
        <v>2</v>
      </c>
      <c r="C8" s="26">
        <v>2.1378487000000002</v>
      </c>
      <c r="D8" s="54" t="s">
        <v>121</v>
      </c>
    </row>
    <row r="9" spans="1:8" s="26" customFormat="1" ht="12.95" customHeight="1" x14ac:dyDescent="0.2">
      <c r="A9" s="33" t="s">
        <v>31</v>
      </c>
      <c r="B9" s="34">
        <v>32</v>
      </c>
      <c r="C9" s="35" t="str">
        <f>"F"&amp;B9</f>
        <v>F32</v>
      </c>
      <c r="D9" s="36" t="str">
        <f>"G"&amp;B9</f>
        <v>G32</v>
      </c>
    </row>
    <row r="10" spans="1:8" s="26" customFormat="1" ht="12.95" customHeight="1" thickBot="1" x14ac:dyDescent="0.25">
      <c r="C10" s="37" t="s">
        <v>18</v>
      </c>
      <c r="D10" s="37" t="s">
        <v>19</v>
      </c>
    </row>
    <row r="11" spans="1:8" s="26" customFormat="1" ht="12.95" customHeight="1" x14ac:dyDescent="0.2">
      <c r="A11" s="26" t="s">
        <v>14</v>
      </c>
      <c r="C11" s="36">
        <f ca="1">INTERCEPT(INDIRECT($D$9):G992,INDIRECT($C$9):F992)</f>
        <v>1.8418271667653731E-2</v>
      </c>
      <c r="D11" s="27"/>
    </row>
    <row r="12" spans="1:8" s="26" customFormat="1" ht="12.95" customHeight="1" x14ac:dyDescent="0.2">
      <c r="A12" s="26" t="s">
        <v>15</v>
      </c>
      <c r="C12" s="36">
        <f ca="1">SLOPE(INDIRECT($D$9):G992,INDIRECT($C$9):F992)</f>
        <v>-6.1285241977259278E-6</v>
      </c>
      <c r="D12" s="27"/>
      <c r="E12" s="57" t="s">
        <v>119</v>
      </c>
      <c r="F12" s="58" t="s">
        <v>120</v>
      </c>
    </row>
    <row r="13" spans="1:8" s="26" customFormat="1" ht="12.95" customHeight="1" x14ac:dyDescent="0.2">
      <c r="A13" s="26" t="s">
        <v>17</v>
      </c>
      <c r="C13" s="27" t="s">
        <v>12</v>
      </c>
      <c r="E13" s="59" t="s">
        <v>38</v>
      </c>
      <c r="F13" s="60">
        <v>1</v>
      </c>
    </row>
    <row r="14" spans="1:8" s="26" customFormat="1" ht="12.95" customHeight="1" x14ac:dyDescent="0.2">
      <c r="E14" s="59" t="s">
        <v>29</v>
      </c>
      <c r="F14" s="61">
        <f ca="1">NOW()+15018.5+$C$5/24</f>
        <v>60518.842286226849</v>
      </c>
    </row>
    <row r="15" spans="1:8" s="26" customFormat="1" ht="12.95" customHeight="1" x14ac:dyDescent="0.2">
      <c r="A15" s="38" t="s">
        <v>16</v>
      </c>
      <c r="C15" s="39">
        <f ca="1">(C7+C11)+(C8+C12)*INT(MAX(F21:F3533))</f>
        <v>55430.561838433758</v>
      </c>
      <c r="E15" s="59" t="s">
        <v>39</v>
      </c>
      <c r="F15" s="61">
        <f ca="1">ROUND(2*(F14-$C$7)/$C$8,0)/2+F13</f>
        <v>11862</v>
      </c>
    </row>
    <row r="16" spans="1:8" s="26" customFormat="1" ht="12.95" customHeight="1" x14ac:dyDescent="0.2">
      <c r="A16" s="28" t="s">
        <v>3</v>
      </c>
      <c r="C16" s="41">
        <f ca="1">+C8+C12</f>
        <v>2.1378425714758023</v>
      </c>
      <c r="E16" s="59" t="s">
        <v>30</v>
      </c>
      <c r="F16" s="61">
        <f ca="1">ROUND(2*(F14-$C$15)/$C$16,0)/2+F13</f>
        <v>2381</v>
      </c>
    </row>
    <row r="17" spans="1:17" ht="12.95" customHeight="1" thickBot="1" x14ac:dyDescent="0.25">
      <c r="A17" s="40" t="s">
        <v>26</v>
      </c>
      <c r="B17" s="26"/>
      <c r="C17" s="26">
        <f>COUNT(C21:C2191)</f>
        <v>19</v>
      </c>
      <c r="D17" s="26"/>
      <c r="E17" s="59" t="s">
        <v>122</v>
      </c>
      <c r="F17" s="62">
        <f ca="1">+$C$15+$C$16*$F$16-15018.5-$C$5/24</f>
        <v>45502.66083445098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12.95" customHeight="1" thickTop="1" thickBot="1" x14ac:dyDescent="0.25">
      <c r="A18" s="28" t="s">
        <v>4</v>
      </c>
      <c r="B18" s="26"/>
      <c r="C18" s="42">
        <f ca="1">+C15</f>
        <v>55430.561838433758</v>
      </c>
      <c r="D18" s="43">
        <f ca="1">+C16</f>
        <v>2.1378425714758023</v>
      </c>
      <c r="E18" s="64" t="s">
        <v>123</v>
      </c>
      <c r="F18" s="63">
        <f ca="1">+($C$15+$C$16*$F$16)-($C$16/2)-15018.5-$C$5/24</f>
        <v>45501.591913165241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ht="12.95" customHeight="1" thickTop="1" x14ac:dyDescent="0.2">
      <c r="A19" s="26"/>
      <c r="B19" s="26"/>
      <c r="C19" s="26"/>
      <c r="D19" s="26"/>
      <c r="E19" s="40"/>
      <c r="F19" s="44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ht="12.95" customHeight="1" thickBot="1" x14ac:dyDescent="0.25">
      <c r="A20" s="37" t="s">
        <v>5</v>
      </c>
      <c r="B20" s="37" t="s">
        <v>6</v>
      </c>
      <c r="C20" s="37" t="s">
        <v>7</v>
      </c>
      <c r="D20" s="37" t="s">
        <v>11</v>
      </c>
      <c r="E20" s="37" t="s">
        <v>8</v>
      </c>
      <c r="F20" s="37" t="s">
        <v>9</v>
      </c>
      <c r="G20" s="37" t="s">
        <v>10</v>
      </c>
      <c r="H20" s="45" t="s">
        <v>33</v>
      </c>
      <c r="I20" s="45" t="s">
        <v>53</v>
      </c>
      <c r="J20" s="45" t="s">
        <v>118</v>
      </c>
      <c r="K20" s="45" t="s">
        <v>45</v>
      </c>
      <c r="L20" s="45" t="s">
        <v>23</v>
      </c>
      <c r="M20" s="45" t="s">
        <v>24</v>
      </c>
      <c r="N20" s="45" t="s">
        <v>25</v>
      </c>
      <c r="O20" s="45" t="s">
        <v>21</v>
      </c>
      <c r="P20" s="46" t="s">
        <v>20</v>
      </c>
      <c r="Q20" s="37" t="s">
        <v>13</v>
      </c>
    </row>
    <row r="21" spans="1:17" ht="12.95" customHeight="1" x14ac:dyDescent="0.2">
      <c r="A21" s="55" t="s">
        <v>124</v>
      </c>
      <c r="B21" s="47" t="s">
        <v>32</v>
      </c>
      <c r="C21" s="48">
        <v>33391.534</v>
      </c>
      <c r="D21" s="7"/>
      <c r="E21" s="26">
        <f t="shared" ref="E21:E39" si="0">+(C21-C$7)/C$8</f>
        <v>-827.99311288960871</v>
      </c>
      <c r="F21" s="26">
        <f t="shared" ref="F21:F39" si="1">ROUND(2*E21,0)/2</f>
        <v>-828</v>
      </c>
      <c r="G21" s="26">
        <f t="shared" ref="G21:G39" si="2">+C21-(C$7+F21*C$8)</f>
        <v>1.4723599997523706E-2</v>
      </c>
      <c r="H21" s="26"/>
      <c r="I21" s="26">
        <f t="shared" ref="I21:I27" si="3">+G21</f>
        <v>1.4723599997523706E-2</v>
      </c>
      <c r="J21" s="26"/>
      <c r="K21" s="26"/>
      <c r="L21" s="26"/>
      <c r="M21" s="26"/>
      <c r="N21" s="26"/>
      <c r="O21" s="26">
        <f t="shared" ref="O21:O39" ca="1" si="4">+C$11+C$12*$F21</f>
        <v>2.34926897033708E-2</v>
      </c>
      <c r="P21" s="26"/>
      <c r="Q21" s="49">
        <f t="shared" ref="Q21:Q39" si="5">+C21-15018.5</f>
        <v>18373.034</v>
      </c>
    </row>
    <row r="22" spans="1:17" ht="12.95" customHeight="1" x14ac:dyDescent="0.2">
      <c r="A22" s="55" t="s">
        <v>124</v>
      </c>
      <c r="B22" s="47" t="s">
        <v>32</v>
      </c>
      <c r="C22" s="48">
        <v>33498.409</v>
      </c>
      <c r="D22" s="7"/>
      <c r="E22" s="26">
        <f t="shared" si="0"/>
        <v>-778.00126828432872</v>
      </c>
      <c r="F22" s="26">
        <f t="shared" si="1"/>
        <v>-778</v>
      </c>
      <c r="G22" s="26">
        <f t="shared" si="2"/>
        <v>-2.7114000040455721E-3</v>
      </c>
      <c r="H22" s="26"/>
      <c r="I22" s="26">
        <f t="shared" si="3"/>
        <v>-2.7114000040455721E-3</v>
      </c>
      <c r="J22" s="26"/>
      <c r="K22" s="26"/>
      <c r="L22" s="26"/>
      <c r="M22" s="26"/>
      <c r="N22" s="26"/>
      <c r="O22" s="26">
        <f t="shared" ca="1" si="4"/>
        <v>2.3186263493484502E-2</v>
      </c>
      <c r="P22" s="26"/>
      <c r="Q22" s="49">
        <f t="shared" si="5"/>
        <v>18479.909</v>
      </c>
    </row>
    <row r="23" spans="1:17" ht="12.95" customHeight="1" x14ac:dyDescent="0.2">
      <c r="A23" s="55" t="s">
        <v>124</v>
      </c>
      <c r="B23" s="47" t="s">
        <v>32</v>
      </c>
      <c r="C23" s="48">
        <v>34150.46</v>
      </c>
      <c r="D23" s="50"/>
      <c r="E23" s="26">
        <f t="shared" si="0"/>
        <v>-472.99792543784969</v>
      </c>
      <c r="F23" s="26">
        <f t="shared" si="1"/>
        <v>-473</v>
      </c>
      <c r="G23" s="26">
        <f t="shared" si="2"/>
        <v>4.4350999960443005E-3</v>
      </c>
      <c r="H23" s="26"/>
      <c r="I23" s="26">
        <f t="shared" si="3"/>
        <v>4.4350999960443005E-3</v>
      </c>
      <c r="J23" s="26"/>
      <c r="K23" s="26"/>
      <c r="L23" s="26"/>
      <c r="M23" s="26"/>
      <c r="N23" s="26"/>
      <c r="O23" s="26">
        <f t="shared" ca="1" si="4"/>
        <v>2.1317063613178096E-2</v>
      </c>
      <c r="P23" s="26"/>
      <c r="Q23" s="49">
        <f t="shared" si="5"/>
        <v>19131.96</v>
      </c>
    </row>
    <row r="24" spans="1:17" ht="12.95" customHeight="1" x14ac:dyDescent="0.2">
      <c r="A24" s="55" t="s">
        <v>124</v>
      </c>
      <c r="B24" s="47" t="s">
        <v>32</v>
      </c>
      <c r="C24" s="48">
        <v>34601.535000000003</v>
      </c>
      <c r="D24" s="50"/>
      <c r="E24" s="26">
        <f t="shared" si="0"/>
        <v>-262.00310620672059</v>
      </c>
      <c r="F24" s="26">
        <f t="shared" si="1"/>
        <v>-262</v>
      </c>
      <c r="G24" s="26">
        <f t="shared" si="2"/>
        <v>-6.6405999968992546E-3</v>
      </c>
      <c r="H24" s="26"/>
      <c r="I24" s="26">
        <f t="shared" si="3"/>
        <v>-6.6405999968992546E-3</v>
      </c>
      <c r="J24" s="26"/>
      <c r="K24" s="26"/>
      <c r="L24" s="26"/>
      <c r="M24" s="26"/>
      <c r="N24" s="26"/>
      <c r="O24" s="26">
        <f t="shared" ca="1" si="4"/>
        <v>2.0023945007457924E-2</v>
      </c>
      <c r="P24" s="26"/>
      <c r="Q24" s="49">
        <f t="shared" si="5"/>
        <v>19583.035000000003</v>
      </c>
    </row>
    <row r="25" spans="1:17" ht="12.95" customHeight="1" x14ac:dyDescent="0.2">
      <c r="A25" s="55" t="s">
        <v>124</v>
      </c>
      <c r="B25" s="47" t="s">
        <v>32</v>
      </c>
      <c r="C25" s="48">
        <v>34629.334999999999</v>
      </c>
      <c r="D25" s="50"/>
      <c r="E25" s="26">
        <f t="shared" si="0"/>
        <v>-248.99937960998079</v>
      </c>
      <c r="F25" s="26">
        <f t="shared" si="1"/>
        <v>-249</v>
      </c>
      <c r="G25" s="26">
        <f t="shared" si="2"/>
        <v>1.3262999927974306E-3</v>
      </c>
      <c r="H25" s="26"/>
      <c r="I25" s="26">
        <f t="shared" si="3"/>
        <v>1.3262999927974306E-3</v>
      </c>
      <c r="J25" s="26"/>
      <c r="K25" s="26"/>
      <c r="L25" s="26"/>
      <c r="M25" s="26"/>
      <c r="N25" s="26"/>
      <c r="O25" s="26">
        <f t="shared" ca="1" si="4"/>
        <v>1.9944274192887489E-2</v>
      </c>
      <c r="P25" s="26"/>
      <c r="Q25" s="49">
        <f t="shared" si="5"/>
        <v>19610.834999999999</v>
      </c>
    </row>
    <row r="26" spans="1:17" ht="12.95" customHeight="1" x14ac:dyDescent="0.2">
      <c r="A26" s="55" t="s">
        <v>124</v>
      </c>
      <c r="B26" s="47" t="s">
        <v>32</v>
      </c>
      <c r="C26" s="48">
        <v>35161.637000000002</v>
      </c>
      <c r="D26" s="50"/>
      <c r="E26" s="26">
        <f t="shared" si="0"/>
        <v>-9.8229589402843535E-3</v>
      </c>
      <c r="F26" s="26">
        <f t="shared" si="1"/>
        <v>0</v>
      </c>
      <c r="G26" s="26">
        <f t="shared" si="2"/>
        <v>-2.1000000000640284E-2</v>
      </c>
      <c r="H26" s="26"/>
      <c r="I26" s="26">
        <f t="shared" si="3"/>
        <v>-2.1000000000640284E-2</v>
      </c>
      <c r="J26" s="26"/>
      <c r="K26" s="26"/>
      <c r="L26" s="26"/>
      <c r="M26" s="26"/>
      <c r="N26" s="26"/>
      <c r="O26" s="26">
        <f t="shared" ca="1" si="4"/>
        <v>1.8418271667653731E-2</v>
      </c>
      <c r="P26" s="26"/>
      <c r="Q26" s="49">
        <f t="shared" si="5"/>
        <v>20143.137000000002</v>
      </c>
    </row>
    <row r="27" spans="1:17" ht="0" hidden="1" customHeight="1" x14ac:dyDescent="0.2">
      <c r="A27" s="55" t="s">
        <v>124</v>
      </c>
      <c r="B27" s="47" t="s">
        <v>32</v>
      </c>
      <c r="C27" s="48">
        <v>35373.305999999997</v>
      </c>
      <c r="D27" s="50"/>
      <c r="E27" s="26">
        <f t="shared" si="0"/>
        <v>99.000457796659674</v>
      </c>
      <c r="F27" s="26">
        <f t="shared" si="1"/>
        <v>99</v>
      </c>
      <c r="G27" s="26">
        <f t="shared" si="2"/>
        <v>9.7869999444810674E-4</v>
      </c>
      <c r="H27" s="26"/>
      <c r="I27" s="26">
        <f t="shared" si="3"/>
        <v>9.7869999444810674E-4</v>
      </c>
      <c r="J27" s="26"/>
      <c r="K27" s="26"/>
      <c r="L27" s="26"/>
      <c r="M27" s="26"/>
      <c r="N27" s="26"/>
      <c r="O27" s="26">
        <f t="shared" ca="1" si="4"/>
        <v>1.7811547772078863E-2</v>
      </c>
      <c r="P27" s="26"/>
      <c r="Q27" s="49">
        <f t="shared" si="5"/>
        <v>20354.805999999997</v>
      </c>
    </row>
    <row r="28" spans="1:17" ht="12.95" customHeight="1" x14ac:dyDescent="0.2">
      <c r="A28" t="str">
        <f>$D$7</f>
        <v>VSX</v>
      </c>
      <c r="C28" s="3">
        <f>$C$7</f>
        <v>35161.658000000003</v>
      </c>
      <c r="D28" s="3"/>
      <c r="E28">
        <f t="shared" si="0"/>
        <v>0</v>
      </c>
      <c r="F28">
        <f t="shared" si="1"/>
        <v>0</v>
      </c>
      <c r="G28">
        <f t="shared" si="2"/>
        <v>0</v>
      </c>
      <c r="J28">
        <f>+G28</f>
        <v>0</v>
      </c>
      <c r="K28" s="26"/>
      <c r="O28">
        <f t="shared" ca="1" si="4"/>
        <v>1.8418271667653731E-2</v>
      </c>
      <c r="Q28" s="1">
        <f t="shared" si="5"/>
        <v>20143.158000000003</v>
      </c>
    </row>
    <row r="29" spans="1:17" ht="12.95" customHeight="1" x14ac:dyDescent="0.2">
      <c r="A29" s="55" t="s">
        <v>124</v>
      </c>
      <c r="B29" s="47" t="s">
        <v>32</v>
      </c>
      <c r="C29" s="48">
        <v>36816.35</v>
      </c>
      <c r="D29" s="50"/>
      <c r="E29" s="26">
        <f t="shared" si="0"/>
        <v>773.99864639625594</v>
      </c>
      <c r="F29" s="26">
        <f t="shared" si="1"/>
        <v>774</v>
      </c>
      <c r="G29" s="26">
        <f t="shared" si="2"/>
        <v>-2.8938000032212585E-3</v>
      </c>
      <c r="H29" s="26"/>
      <c r="I29" s="26">
        <f>+G29</f>
        <v>-2.8938000032212585E-3</v>
      </c>
      <c r="J29" s="26"/>
      <c r="K29" s="26"/>
      <c r="L29" s="26"/>
      <c r="M29" s="26"/>
      <c r="N29" s="26"/>
      <c r="O29" s="26">
        <f t="shared" ca="1" si="4"/>
        <v>1.3674793938613863E-2</v>
      </c>
      <c r="P29" s="26"/>
      <c r="Q29" s="49">
        <f t="shared" si="5"/>
        <v>21797.85</v>
      </c>
    </row>
    <row r="30" spans="1:17" ht="12.95" customHeight="1" x14ac:dyDescent="0.2">
      <c r="A30" s="55" t="s">
        <v>124</v>
      </c>
      <c r="B30" s="47" t="s">
        <v>32</v>
      </c>
      <c r="C30" s="48">
        <v>36818.5</v>
      </c>
      <c r="D30" s="50"/>
      <c r="E30" s="26">
        <f t="shared" si="0"/>
        <v>775.00433028773125</v>
      </c>
      <c r="F30" s="26">
        <f t="shared" si="1"/>
        <v>775</v>
      </c>
      <c r="G30" s="26">
        <f t="shared" si="2"/>
        <v>9.2574999944190495E-3</v>
      </c>
      <c r="H30" s="26"/>
      <c r="I30" s="26">
        <f>+G30</f>
        <v>9.2574999944190495E-3</v>
      </c>
      <c r="J30" s="26"/>
      <c r="K30" s="26"/>
      <c r="L30" s="26"/>
      <c r="M30" s="26"/>
      <c r="N30" s="26"/>
      <c r="O30" s="26">
        <f t="shared" ca="1" si="4"/>
        <v>1.3668665414416137E-2</v>
      </c>
      <c r="P30" s="26"/>
      <c r="Q30" s="49">
        <f t="shared" si="5"/>
        <v>21800</v>
      </c>
    </row>
    <row r="31" spans="1:17" ht="12.95" customHeight="1" x14ac:dyDescent="0.2">
      <c r="A31" s="55" t="s">
        <v>124</v>
      </c>
      <c r="B31" s="47" t="s">
        <v>32</v>
      </c>
      <c r="C31" s="48">
        <v>36846.294999999998</v>
      </c>
      <c r="D31" s="50"/>
      <c r="E31" s="26">
        <f t="shared" si="0"/>
        <v>788.00571808472466</v>
      </c>
      <c r="F31" s="26">
        <f t="shared" si="1"/>
        <v>788</v>
      </c>
      <c r="G31" s="26">
        <f t="shared" si="2"/>
        <v>1.2224399994011037E-2</v>
      </c>
      <c r="H31" s="26"/>
      <c r="I31" s="26">
        <f>+G31</f>
        <v>1.2224399994011037E-2</v>
      </c>
      <c r="J31" s="26"/>
      <c r="K31" s="26"/>
      <c r="L31" s="26"/>
      <c r="M31" s="26"/>
      <c r="N31" s="26"/>
      <c r="O31" s="26">
        <f t="shared" ca="1" si="4"/>
        <v>1.3588994599845701E-2</v>
      </c>
      <c r="P31" s="26"/>
      <c r="Q31" s="49">
        <f t="shared" si="5"/>
        <v>21827.794999999998</v>
      </c>
    </row>
    <row r="32" spans="1:17" ht="12.95" customHeight="1" x14ac:dyDescent="0.2">
      <c r="A32" s="55" t="s">
        <v>124</v>
      </c>
      <c r="B32" s="47" t="s">
        <v>32</v>
      </c>
      <c r="C32" s="48">
        <v>36848.43</v>
      </c>
      <c r="D32" s="50"/>
      <c r="E32" s="26">
        <f t="shared" si="0"/>
        <v>789.00438557695736</v>
      </c>
      <c r="F32" s="26">
        <f t="shared" si="1"/>
        <v>789</v>
      </c>
      <c r="G32" s="26">
        <f t="shared" si="2"/>
        <v>9.3756999995093793E-3</v>
      </c>
      <c r="H32" s="26"/>
      <c r="I32" s="26">
        <f>+G32</f>
        <v>9.3756999995093793E-3</v>
      </c>
      <c r="J32" s="26"/>
      <c r="K32" s="26"/>
      <c r="L32" s="26"/>
      <c r="M32" s="26"/>
      <c r="N32" s="26"/>
      <c r="O32" s="26">
        <f t="shared" ca="1" si="4"/>
        <v>1.3582866075647973E-2</v>
      </c>
      <c r="P32" s="26"/>
      <c r="Q32" s="49">
        <f t="shared" si="5"/>
        <v>21829.93</v>
      </c>
    </row>
    <row r="33" spans="1:17" ht="12.95" customHeight="1" x14ac:dyDescent="0.2">
      <c r="A33" s="7" t="s">
        <v>33</v>
      </c>
      <c r="B33" s="8" t="s">
        <v>32</v>
      </c>
      <c r="C33" s="7">
        <v>52501.726999999999</v>
      </c>
      <c r="D33" s="51"/>
      <c r="E33" s="26">
        <f t="shared" si="0"/>
        <v>8110.9898001668662</v>
      </c>
      <c r="F33" s="26">
        <f t="shared" si="1"/>
        <v>8111</v>
      </c>
      <c r="G33" s="26">
        <f t="shared" si="2"/>
        <v>-2.1805700002005324E-2</v>
      </c>
      <c r="H33" s="26">
        <f>+G33</f>
        <v>-2.1805700002005324E-2</v>
      </c>
      <c r="I33" s="26"/>
      <c r="J33" s="26"/>
      <c r="K33" s="26"/>
      <c r="L33" s="26"/>
      <c r="M33" s="26"/>
      <c r="N33" s="26"/>
      <c r="O33" s="26">
        <f t="shared" ca="1" si="4"/>
        <v>-3.1290188100101271E-2</v>
      </c>
      <c r="P33" s="26"/>
      <c r="Q33" s="49">
        <f t="shared" si="5"/>
        <v>37483.226999999999</v>
      </c>
    </row>
    <row r="34" spans="1:17" ht="12.95" customHeight="1" x14ac:dyDescent="0.2">
      <c r="A34" s="7" t="s">
        <v>37</v>
      </c>
      <c r="B34" s="52"/>
      <c r="C34" s="7">
        <v>53612.340400000001</v>
      </c>
      <c r="D34" s="7">
        <v>4.0000000000000002E-4</v>
      </c>
      <c r="E34" s="26">
        <f t="shared" si="0"/>
        <v>8630.4902680905325</v>
      </c>
      <c r="F34" s="26">
        <f t="shared" si="1"/>
        <v>8630.5</v>
      </c>
      <c r="G34" s="26">
        <f t="shared" si="2"/>
        <v>-2.0805350002774503E-2</v>
      </c>
      <c r="H34" s="26"/>
      <c r="I34" s="26"/>
      <c r="J34" s="26"/>
      <c r="K34" s="26">
        <f t="shared" ref="K34:K39" si="6">+G34</f>
        <v>-2.0805350002774503E-2</v>
      </c>
      <c r="L34" s="26"/>
      <c r="M34" s="26"/>
      <c r="N34" s="26"/>
      <c r="O34" s="26">
        <f t="shared" ca="1" si="4"/>
        <v>-3.4473956420819886E-2</v>
      </c>
      <c r="P34" s="26"/>
      <c r="Q34" s="49">
        <f t="shared" si="5"/>
        <v>38593.840400000001</v>
      </c>
    </row>
    <row r="35" spans="1:17" x14ac:dyDescent="0.2">
      <c r="A35" s="7" t="s">
        <v>37</v>
      </c>
      <c r="B35" s="52"/>
      <c r="C35" s="7">
        <v>53614.4735</v>
      </c>
      <c r="D35" s="7">
        <v>1.6999999999999999E-3</v>
      </c>
      <c r="E35" s="26">
        <f t="shared" si="0"/>
        <v>8631.4880468388601</v>
      </c>
      <c r="F35" s="26">
        <f t="shared" si="1"/>
        <v>8631.5</v>
      </c>
      <c r="G35" s="26">
        <f t="shared" si="2"/>
        <v>-2.5554050000209827E-2</v>
      </c>
      <c r="H35" s="26"/>
      <c r="I35" s="26"/>
      <c r="J35" s="26"/>
      <c r="K35" s="26">
        <f t="shared" si="6"/>
        <v>-2.5554050000209827E-2</v>
      </c>
      <c r="L35" s="26"/>
      <c r="M35" s="26"/>
      <c r="N35" s="26"/>
      <c r="O35" s="26">
        <f t="shared" ca="1" si="4"/>
        <v>-3.4480084945017614E-2</v>
      </c>
      <c r="P35" s="26"/>
      <c r="Q35" s="49">
        <f t="shared" si="5"/>
        <v>38595.9735</v>
      </c>
    </row>
    <row r="36" spans="1:17" x14ac:dyDescent="0.2">
      <c r="A36" s="5" t="s">
        <v>37</v>
      </c>
      <c r="B36" s="6"/>
      <c r="C36" s="5">
        <v>53658.300900000002</v>
      </c>
      <c r="D36" s="5">
        <v>1.1999999999999999E-3</v>
      </c>
      <c r="E36">
        <f t="shared" si="0"/>
        <v>8651.9887492505895</v>
      </c>
      <c r="F36">
        <f t="shared" si="1"/>
        <v>8652</v>
      </c>
      <c r="G36">
        <f t="shared" si="2"/>
        <v>-2.4052400003711227E-2</v>
      </c>
      <c r="K36">
        <f t="shared" si="6"/>
        <v>-2.4052400003711227E-2</v>
      </c>
      <c r="O36">
        <f t="shared" ca="1" si="4"/>
        <v>-3.4605719691070999E-2</v>
      </c>
      <c r="Q36" s="1">
        <f t="shared" si="5"/>
        <v>38639.800900000002</v>
      </c>
    </row>
    <row r="37" spans="1:17" x14ac:dyDescent="0.2">
      <c r="A37" s="56" t="s">
        <v>107</v>
      </c>
      <c r="B37" s="25" t="s">
        <v>41</v>
      </c>
      <c r="C37" s="24">
        <v>54685.512499999997</v>
      </c>
      <c r="D37" s="3"/>
      <c r="E37">
        <f t="shared" si="0"/>
        <v>9132.477195416117</v>
      </c>
      <c r="F37">
        <f t="shared" si="1"/>
        <v>9132.5</v>
      </c>
      <c r="G37">
        <f t="shared" si="2"/>
        <v>-4.8752750008134171E-2</v>
      </c>
      <c r="K37">
        <f t="shared" si="6"/>
        <v>-4.8752750008134171E-2</v>
      </c>
      <c r="O37">
        <f t="shared" ca="1" si="4"/>
        <v>-3.7550475568078306E-2</v>
      </c>
      <c r="Q37" s="1">
        <f t="shared" si="5"/>
        <v>39667.012499999997</v>
      </c>
    </row>
    <row r="38" spans="1:17" x14ac:dyDescent="0.2">
      <c r="A38" s="7" t="s">
        <v>40</v>
      </c>
      <c r="B38" s="8" t="s">
        <v>41</v>
      </c>
      <c r="C38" s="7">
        <v>55352.517500000002</v>
      </c>
      <c r="D38" s="7">
        <v>5.9999999999999995E-4</v>
      </c>
      <c r="E38">
        <f t="shared" si="0"/>
        <v>9444.4754205477675</v>
      </c>
      <c r="F38">
        <f t="shared" si="1"/>
        <v>9444.5</v>
      </c>
      <c r="G38">
        <f t="shared" si="2"/>
        <v>-5.2547150000464171E-2</v>
      </c>
      <c r="K38">
        <f t="shared" si="6"/>
        <v>-5.2547150000464171E-2</v>
      </c>
      <c r="O38">
        <f t="shared" ca="1" si="4"/>
        <v>-3.9462575117768794E-2</v>
      </c>
      <c r="Q38" s="1">
        <f t="shared" si="5"/>
        <v>40334.017500000002</v>
      </c>
    </row>
    <row r="39" spans="1:17" x14ac:dyDescent="0.2">
      <c r="A39" s="9" t="s">
        <v>42</v>
      </c>
      <c r="B39" s="9"/>
      <c r="C39" s="10">
        <v>55430.547700000003</v>
      </c>
      <c r="D39" s="10">
        <v>4.0000000000000001E-3</v>
      </c>
      <c r="E39">
        <f t="shared" si="0"/>
        <v>9480.9748229610432</v>
      </c>
      <c r="F39">
        <f t="shared" si="1"/>
        <v>9481</v>
      </c>
      <c r="G39">
        <f t="shared" si="2"/>
        <v>-5.3824700000404846E-2</v>
      </c>
      <c r="K39">
        <f t="shared" si="6"/>
        <v>-5.3824700000404846E-2</v>
      </c>
      <c r="O39">
        <f t="shared" ca="1" si="4"/>
        <v>-3.9686266250985792E-2</v>
      </c>
      <c r="Q39" s="1">
        <f t="shared" si="5"/>
        <v>40412.047700000003</v>
      </c>
    </row>
    <row r="40" spans="1:17" x14ac:dyDescent="0.2">
      <c r="C40" s="3"/>
      <c r="D40" s="3"/>
    </row>
    <row r="41" spans="1:17" x14ac:dyDescent="0.2">
      <c r="C41" s="3"/>
      <c r="D41" s="3"/>
    </row>
    <row r="42" spans="1:17" x14ac:dyDescent="0.2">
      <c r="C42" s="3"/>
      <c r="D42" s="3"/>
    </row>
    <row r="43" spans="1:17" x14ac:dyDescent="0.2">
      <c r="C43" s="3"/>
      <c r="D43" s="3"/>
    </row>
    <row r="44" spans="1:17" x14ac:dyDescent="0.2">
      <c r="C44" s="3"/>
      <c r="D44" s="3"/>
    </row>
    <row r="45" spans="1:17" x14ac:dyDescent="0.2">
      <c r="C45" s="3"/>
      <c r="D45" s="3"/>
    </row>
    <row r="46" spans="1:17" x14ac:dyDescent="0.2">
      <c r="C46" s="3"/>
      <c r="D46" s="3"/>
    </row>
    <row r="47" spans="1:17" x14ac:dyDescent="0.2">
      <c r="C47" s="3"/>
      <c r="D47" s="3"/>
    </row>
    <row r="48" spans="1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</sheetData>
  <sortState xmlns:xlrd2="http://schemas.microsoft.com/office/spreadsheetml/2017/richdata2" ref="A21:R42">
    <sortCondition ref="C21:C42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4"/>
  <sheetViews>
    <sheetView topLeftCell="A2" workbookViewId="0">
      <selection activeCell="A16" sqref="A16:C27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1" t="s">
        <v>43</v>
      </c>
      <c r="I1" s="12" t="s">
        <v>44</v>
      </c>
      <c r="J1" s="13" t="s">
        <v>45</v>
      </c>
    </row>
    <row r="2" spans="1:16" x14ac:dyDescent="0.2">
      <c r="I2" s="14" t="s">
        <v>46</v>
      </c>
      <c r="J2" s="15" t="s">
        <v>47</v>
      </c>
    </row>
    <row r="3" spans="1:16" x14ac:dyDescent="0.2">
      <c r="A3" s="16" t="s">
        <v>48</v>
      </c>
      <c r="I3" s="14" t="s">
        <v>49</v>
      </c>
      <c r="J3" s="15" t="s">
        <v>50</v>
      </c>
    </row>
    <row r="4" spans="1:16" x14ac:dyDescent="0.2">
      <c r="I4" s="14" t="s">
        <v>51</v>
      </c>
      <c r="J4" s="15" t="s">
        <v>50</v>
      </c>
    </row>
    <row r="5" spans="1:16" ht="13.5" thickBot="1" x14ac:dyDescent="0.25">
      <c r="I5" s="17" t="s">
        <v>52</v>
      </c>
      <c r="J5" s="18" t="s">
        <v>53</v>
      </c>
    </row>
    <row r="10" spans="1:16" ht="13.5" thickBot="1" x14ac:dyDescent="0.25"/>
    <row r="11" spans="1:16" ht="12.75" customHeight="1" thickBot="1" x14ac:dyDescent="0.25">
      <c r="A11" s="3" t="str">
        <f t="shared" ref="A11:A27" si="0">P11</f>
        <v>BAVM 178 </v>
      </c>
      <c r="B11" s="2" t="str">
        <f t="shared" ref="B11:B27" si="1">IF(H11=INT(H11),"I","II")</f>
        <v>II</v>
      </c>
      <c r="C11" s="3">
        <f t="shared" ref="C11:C27" si="2">1*G11</f>
        <v>53612.340400000001</v>
      </c>
      <c r="D11" s="4" t="str">
        <f t="shared" ref="D11:D27" si="3">VLOOKUP(F11,I$1:J$5,2,FALSE)</f>
        <v>vis</v>
      </c>
      <c r="E11" s="19">
        <f>VLOOKUP(C11,Active!C$21:E$973,3,FALSE)</f>
        <v>8630.4902680905325</v>
      </c>
      <c r="F11" s="2" t="s">
        <v>52</v>
      </c>
      <c r="G11" s="4" t="str">
        <f t="shared" ref="G11:G27" si="4">MID(I11,3,LEN(I11)-3)</f>
        <v>53612.3404</v>
      </c>
      <c r="H11" s="3">
        <f t="shared" ref="H11:H27" si="5">1*K11</f>
        <v>8630.5</v>
      </c>
      <c r="I11" s="20" t="s">
        <v>87</v>
      </c>
      <c r="J11" s="21" t="s">
        <v>88</v>
      </c>
      <c r="K11" s="20">
        <v>8630.5</v>
      </c>
      <c r="L11" s="20" t="s">
        <v>89</v>
      </c>
      <c r="M11" s="21" t="s">
        <v>90</v>
      </c>
      <c r="N11" s="21" t="s">
        <v>91</v>
      </c>
      <c r="O11" s="22" t="s">
        <v>92</v>
      </c>
      <c r="P11" s="23" t="s">
        <v>93</v>
      </c>
    </row>
    <row r="12" spans="1:16" ht="12.75" customHeight="1" thickBot="1" x14ac:dyDescent="0.25">
      <c r="A12" s="3" t="str">
        <f t="shared" si="0"/>
        <v>BAVM 178 </v>
      </c>
      <c r="B12" s="2" t="str">
        <f t="shared" si="1"/>
        <v>II</v>
      </c>
      <c r="C12" s="3">
        <f t="shared" si="2"/>
        <v>53614.4735</v>
      </c>
      <c r="D12" s="4" t="str">
        <f t="shared" si="3"/>
        <v>vis</v>
      </c>
      <c r="E12" s="19">
        <f>VLOOKUP(C12,Active!C$21:E$973,3,FALSE)</f>
        <v>8631.4880468388601</v>
      </c>
      <c r="F12" s="2" t="s">
        <v>52</v>
      </c>
      <c r="G12" s="4" t="str">
        <f t="shared" si="4"/>
        <v>53614.4735</v>
      </c>
      <c r="H12" s="3">
        <f t="shared" si="5"/>
        <v>8631.5</v>
      </c>
      <c r="I12" s="20" t="s">
        <v>94</v>
      </c>
      <c r="J12" s="21" t="s">
        <v>95</v>
      </c>
      <c r="K12" s="20" t="s">
        <v>96</v>
      </c>
      <c r="L12" s="20" t="s">
        <v>97</v>
      </c>
      <c r="M12" s="21" t="s">
        <v>90</v>
      </c>
      <c r="N12" s="21" t="s">
        <v>91</v>
      </c>
      <c r="O12" s="22" t="s">
        <v>92</v>
      </c>
      <c r="P12" s="23" t="s">
        <v>93</v>
      </c>
    </row>
    <row r="13" spans="1:16" ht="12.75" customHeight="1" thickBot="1" x14ac:dyDescent="0.25">
      <c r="A13" s="3" t="str">
        <f t="shared" si="0"/>
        <v>BAVM 178 </v>
      </c>
      <c r="B13" s="2" t="str">
        <f t="shared" si="1"/>
        <v>I</v>
      </c>
      <c r="C13" s="3">
        <f t="shared" si="2"/>
        <v>53658.300900000002</v>
      </c>
      <c r="D13" s="4" t="str">
        <f t="shared" si="3"/>
        <v>vis</v>
      </c>
      <c r="E13" s="19">
        <f>VLOOKUP(C13,Active!C$21:E$973,3,FALSE)</f>
        <v>8651.9887492505895</v>
      </c>
      <c r="F13" s="2" t="s">
        <v>52</v>
      </c>
      <c r="G13" s="4" t="str">
        <f t="shared" si="4"/>
        <v>53658.3009</v>
      </c>
      <c r="H13" s="3">
        <f t="shared" si="5"/>
        <v>8652</v>
      </c>
      <c r="I13" s="20" t="s">
        <v>98</v>
      </c>
      <c r="J13" s="21" t="s">
        <v>99</v>
      </c>
      <c r="K13" s="20" t="s">
        <v>100</v>
      </c>
      <c r="L13" s="20" t="s">
        <v>101</v>
      </c>
      <c r="M13" s="21" t="s">
        <v>90</v>
      </c>
      <c r="N13" s="21" t="s">
        <v>91</v>
      </c>
      <c r="O13" s="22" t="s">
        <v>102</v>
      </c>
      <c r="P13" s="23" t="s">
        <v>93</v>
      </c>
    </row>
    <row r="14" spans="1:16" ht="12.75" customHeight="1" thickBot="1" x14ac:dyDescent="0.25">
      <c r="A14" s="3" t="str">
        <f t="shared" si="0"/>
        <v>BAVM 214 </v>
      </c>
      <c r="B14" s="2" t="str">
        <f t="shared" si="1"/>
        <v>II</v>
      </c>
      <c r="C14" s="3">
        <f t="shared" si="2"/>
        <v>55352.517500000002</v>
      </c>
      <c r="D14" s="4" t="str">
        <f t="shared" si="3"/>
        <v>vis</v>
      </c>
      <c r="E14" s="19">
        <f>VLOOKUP(C14,Active!C$21:E$973,3,FALSE)</f>
        <v>9444.4754205477675</v>
      </c>
      <c r="F14" s="2" t="s">
        <v>52</v>
      </c>
      <c r="G14" s="4" t="str">
        <f t="shared" si="4"/>
        <v>55352.5175</v>
      </c>
      <c r="H14" s="3">
        <f t="shared" si="5"/>
        <v>9444.5</v>
      </c>
      <c r="I14" s="20" t="s">
        <v>108</v>
      </c>
      <c r="J14" s="21" t="s">
        <v>109</v>
      </c>
      <c r="K14" s="20" t="s">
        <v>110</v>
      </c>
      <c r="L14" s="20" t="s">
        <v>111</v>
      </c>
      <c r="M14" s="21" t="s">
        <v>90</v>
      </c>
      <c r="N14" s="21" t="s">
        <v>91</v>
      </c>
      <c r="O14" s="22" t="s">
        <v>102</v>
      </c>
      <c r="P14" s="23" t="s">
        <v>112</v>
      </c>
    </row>
    <row r="15" spans="1:16" ht="12.75" customHeight="1" thickBot="1" x14ac:dyDescent="0.25">
      <c r="A15" s="3" t="str">
        <f t="shared" si="0"/>
        <v>BAVM 215 </v>
      </c>
      <c r="B15" s="2" t="str">
        <f t="shared" si="1"/>
        <v>I</v>
      </c>
      <c r="C15" s="3">
        <f t="shared" si="2"/>
        <v>55430.547700000003</v>
      </c>
      <c r="D15" s="4" t="str">
        <f t="shared" si="3"/>
        <v>vis</v>
      </c>
      <c r="E15" s="19">
        <f>VLOOKUP(C15,Active!C$21:E$973,3,FALSE)</f>
        <v>9480.9748229610432</v>
      </c>
      <c r="F15" s="2" t="s">
        <v>52</v>
      </c>
      <c r="G15" s="4" t="str">
        <f t="shared" si="4"/>
        <v>55430.5477</v>
      </c>
      <c r="H15" s="3">
        <f t="shared" si="5"/>
        <v>9481</v>
      </c>
      <c r="I15" s="20" t="s">
        <v>113</v>
      </c>
      <c r="J15" s="21" t="s">
        <v>114</v>
      </c>
      <c r="K15" s="20" t="s">
        <v>115</v>
      </c>
      <c r="L15" s="20" t="s">
        <v>116</v>
      </c>
      <c r="M15" s="21" t="s">
        <v>90</v>
      </c>
      <c r="N15" s="21" t="s">
        <v>91</v>
      </c>
      <c r="O15" s="22" t="s">
        <v>92</v>
      </c>
      <c r="P15" s="23" t="s">
        <v>117</v>
      </c>
    </row>
    <row r="16" spans="1:16" ht="12.75" customHeight="1" thickBot="1" x14ac:dyDescent="0.25">
      <c r="A16" s="3" t="str">
        <f t="shared" si="0"/>
        <v> AHSB 6.4.314 </v>
      </c>
      <c r="B16" s="2" t="str">
        <f t="shared" si="1"/>
        <v>I</v>
      </c>
      <c r="C16" s="3">
        <f t="shared" si="2"/>
        <v>33391.534</v>
      </c>
      <c r="D16" s="4" t="str">
        <f t="shared" si="3"/>
        <v>vis</v>
      </c>
      <c r="E16" s="19">
        <f>VLOOKUP(C16,Active!C$21:E$973,3,FALSE)</f>
        <v>-827.99311288960871</v>
      </c>
      <c r="F16" s="2" t="s">
        <v>52</v>
      </c>
      <c r="G16" s="4" t="str">
        <f t="shared" si="4"/>
        <v>33391.534</v>
      </c>
      <c r="H16" s="3">
        <f t="shared" si="5"/>
        <v>-828</v>
      </c>
      <c r="I16" s="20" t="s">
        <v>55</v>
      </c>
      <c r="J16" s="21" t="s">
        <v>56</v>
      </c>
      <c r="K16" s="20">
        <v>-828</v>
      </c>
      <c r="L16" s="20" t="s">
        <v>57</v>
      </c>
      <c r="M16" s="21" t="s">
        <v>58</v>
      </c>
      <c r="N16" s="21"/>
      <c r="O16" s="22" t="s">
        <v>59</v>
      </c>
      <c r="P16" s="22" t="s">
        <v>60</v>
      </c>
    </row>
    <row r="17" spans="1:16" ht="12.75" customHeight="1" thickBot="1" x14ac:dyDescent="0.25">
      <c r="A17" s="3" t="str">
        <f t="shared" si="0"/>
        <v> AHSB 6.4.314 </v>
      </c>
      <c r="B17" s="2" t="str">
        <f t="shared" si="1"/>
        <v>I</v>
      </c>
      <c r="C17" s="3">
        <f t="shared" si="2"/>
        <v>33498.409</v>
      </c>
      <c r="D17" s="4" t="str">
        <f t="shared" si="3"/>
        <v>vis</v>
      </c>
      <c r="E17" s="19">
        <f>VLOOKUP(C17,Active!C$21:E$973,3,FALSE)</f>
        <v>-778.00126828432872</v>
      </c>
      <c r="F17" s="2" t="s">
        <v>52</v>
      </c>
      <c r="G17" s="4" t="str">
        <f t="shared" si="4"/>
        <v>33498.409</v>
      </c>
      <c r="H17" s="3">
        <f t="shared" si="5"/>
        <v>-778</v>
      </c>
      <c r="I17" s="20" t="s">
        <v>61</v>
      </c>
      <c r="J17" s="21" t="s">
        <v>62</v>
      </c>
      <c r="K17" s="20">
        <v>-778</v>
      </c>
      <c r="L17" s="20" t="s">
        <v>54</v>
      </c>
      <c r="M17" s="21" t="s">
        <v>58</v>
      </c>
      <c r="N17" s="21"/>
      <c r="O17" s="22" t="s">
        <v>59</v>
      </c>
      <c r="P17" s="22" t="s">
        <v>60</v>
      </c>
    </row>
    <row r="18" spans="1:16" ht="12.75" customHeight="1" thickBot="1" x14ac:dyDescent="0.25">
      <c r="A18" s="3" t="str">
        <f t="shared" si="0"/>
        <v> AHSB 6.4.314 </v>
      </c>
      <c r="B18" s="2" t="str">
        <f t="shared" si="1"/>
        <v>I</v>
      </c>
      <c r="C18" s="3">
        <f t="shared" si="2"/>
        <v>34150.46</v>
      </c>
      <c r="D18" s="4" t="str">
        <f t="shared" si="3"/>
        <v>vis</v>
      </c>
      <c r="E18" s="19">
        <f>VLOOKUP(C18,Active!C$21:E$973,3,FALSE)</f>
        <v>-472.99792543784969</v>
      </c>
      <c r="F18" s="2" t="s">
        <v>52</v>
      </c>
      <c r="G18" s="4" t="str">
        <f t="shared" si="4"/>
        <v>34150.460</v>
      </c>
      <c r="H18" s="3">
        <f t="shared" si="5"/>
        <v>-473</v>
      </c>
      <c r="I18" s="20" t="s">
        <v>63</v>
      </c>
      <c r="J18" s="21" t="s">
        <v>64</v>
      </c>
      <c r="K18" s="20">
        <v>-473</v>
      </c>
      <c r="L18" s="20" t="s">
        <v>65</v>
      </c>
      <c r="M18" s="21" t="s">
        <v>58</v>
      </c>
      <c r="N18" s="21"/>
      <c r="O18" s="22" t="s">
        <v>59</v>
      </c>
      <c r="P18" s="22" t="s">
        <v>60</v>
      </c>
    </row>
    <row r="19" spans="1:16" ht="12.75" customHeight="1" thickBot="1" x14ac:dyDescent="0.25">
      <c r="A19" s="3" t="str">
        <f t="shared" si="0"/>
        <v> AHSB 6.4.314 </v>
      </c>
      <c r="B19" s="2" t="str">
        <f t="shared" si="1"/>
        <v>I</v>
      </c>
      <c r="C19" s="3">
        <f t="shared" si="2"/>
        <v>34601.535000000003</v>
      </c>
      <c r="D19" s="4" t="str">
        <f t="shared" si="3"/>
        <v>vis</v>
      </c>
      <c r="E19" s="19">
        <f>VLOOKUP(C19,Active!C$21:E$973,3,FALSE)</f>
        <v>-262.00310620672059</v>
      </c>
      <c r="F19" s="2" t="s">
        <v>52</v>
      </c>
      <c r="G19" s="4" t="str">
        <f t="shared" si="4"/>
        <v>34601.535</v>
      </c>
      <c r="H19" s="3">
        <f t="shared" si="5"/>
        <v>-262</v>
      </c>
      <c r="I19" s="20" t="s">
        <v>66</v>
      </c>
      <c r="J19" s="21" t="s">
        <v>67</v>
      </c>
      <c r="K19" s="20">
        <v>-262</v>
      </c>
      <c r="L19" s="20" t="s">
        <v>68</v>
      </c>
      <c r="M19" s="21" t="s">
        <v>58</v>
      </c>
      <c r="N19" s="21"/>
      <c r="O19" s="22" t="s">
        <v>59</v>
      </c>
      <c r="P19" s="22" t="s">
        <v>60</v>
      </c>
    </row>
    <row r="20" spans="1:16" ht="12.75" customHeight="1" thickBot="1" x14ac:dyDescent="0.25">
      <c r="A20" s="3" t="str">
        <f t="shared" si="0"/>
        <v> AHSB 6.4.314 </v>
      </c>
      <c r="B20" s="2" t="str">
        <f t="shared" si="1"/>
        <v>I</v>
      </c>
      <c r="C20" s="3">
        <f t="shared" si="2"/>
        <v>34629.334999999999</v>
      </c>
      <c r="D20" s="4" t="str">
        <f t="shared" si="3"/>
        <v>vis</v>
      </c>
      <c r="E20" s="19">
        <f>VLOOKUP(C20,Active!C$21:E$973,3,FALSE)</f>
        <v>-248.99937960998079</v>
      </c>
      <c r="F20" s="2" t="s">
        <v>52</v>
      </c>
      <c r="G20" s="4" t="str">
        <f t="shared" si="4"/>
        <v>34629.335</v>
      </c>
      <c r="H20" s="3">
        <f t="shared" si="5"/>
        <v>-249</v>
      </c>
      <c r="I20" s="20" t="s">
        <v>69</v>
      </c>
      <c r="J20" s="21" t="s">
        <v>70</v>
      </c>
      <c r="K20" s="20">
        <v>-249</v>
      </c>
      <c r="L20" s="20" t="s">
        <v>71</v>
      </c>
      <c r="M20" s="21" t="s">
        <v>58</v>
      </c>
      <c r="N20" s="21"/>
      <c r="O20" s="22" t="s">
        <v>59</v>
      </c>
      <c r="P20" s="22" t="s">
        <v>60</v>
      </c>
    </row>
    <row r="21" spans="1:16" ht="12.75" customHeight="1" thickBot="1" x14ac:dyDescent="0.25">
      <c r="A21" s="3" t="str">
        <f t="shared" si="0"/>
        <v> AHSB 6.4.314 </v>
      </c>
      <c r="B21" s="2" t="str">
        <f t="shared" si="1"/>
        <v>I</v>
      </c>
      <c r="C21" s="3">
        <f t="shared" si="2"/>
        <v>35161.637000000002</v>
      </c>
      <c r="D21" s="4" t="str">
        <f t="shared" si="3"/>
        <v>vis</v>
      </c>
      <c r="E21" s="19">
        <f>VLOOKUP(C21,Active!C$21:E$973,3,FALSE)</f>
        <v>-9.8229589402843535E-3</v>
      </c>
      <c r="F21" s="2" t="s">
        <v>52</v>
      </c>
      <c r="G21" s="4" t="str">
        <f t="shared" si="4"/>
        <v>35161.637</v>
      </c>
      <c r="H21" s="3">
        <f t="shared" si="5"/>
        <v>0</v>
      </c>
      <c r="I21" s="20" t="s">
        <v>72</v>
      </c>
      <c r="J21" s="21" t="s">
        <v>73</v>
      </c>
      <c r="K21" s="20">
        <v>0</v>
      </c>
      <c r="L21" s="20" t="s">
        <v>74</v>
      </c>
      <c r="M21" s="21" t="s">
        <v>58</v>
      </c>
      <c r="N21" s="21"/>
      <c r="O21" s="22" t="s">
        <v>59</v>
      </c>
      <c r="P21" s="22" t="s">
        <v>60</v>
      </c>
    </row>
    <row r="22" spans="1:16" ht="12.75" customHeight="1" thickBot="1" x14ac:dyDescent="0.25">
      <c r="A22" s="3" t="str">
        <f t="shared" si="0"/>
        <v> AHSB 6.4.314 </v>
      </c>
      <c r="B22" s="2" t="str">
        <f t="shared" si="1"/>
        <v>I</v>
      </c>
      <c r="C22" s="3">
        <f t="shared" si="2"/>
        <v>35373.305999999997</v>
      </c>
      <c r="D22" s="4" t="str">
        <f t="shared" si="3"/>
        <v>vis</v>
      </c>
      <c r="E22" s="19">
        <f>VLOOKUP(C22,Active!C$21:E$973,3,FALSE)</f>
        <v>99.000457796659674</v>
      </c>
      <c r="F22" s="2" t="s">
        <v>52</v>
      </c>
      <c r="G22" s="4" t="str">
        <f t="shared" si="4"/>
        <v>35373.306</v>
      </c>
      <c r="H22" s="3">
        <f t="shared" si="5"/>
        <v>99</v>
      </c>
      <c r="I22" s="20" t="s">
        <v>75</v>
      </c>
      <c r="J22" s="21" t="s">
        <v>76</v>
      </c>
      <c r="K22" s="20">
        <v>99</v>
      </c>
      <c r="L22" s="20" t="s">
        <v>71</v>
      </c>
      <c r="M22" s="21" t="s">
        <v>58</v>
      </c>
      <c r="N22" s="21"/>
      <c r="O22" s="22" t="s">
        <v>59</v>
      </c>
      <c r="P22" s="22" t="s">
        <v>60</v>
      </c>
    </row>
    <row r="23" spans="1:16" ht="12.75" customHeight="1" thickBot="1" x14ac:dyDescent="0.25">
      <c r="A23" s="3" t="str">
        <f t="shared" si="0"/>
        <v> AHSB 6.4.314 </v>
      </c>
      <c r="B23" s="2" t="str">
        <f t="shared" si="1"/>
        <v>I</v>
      </c>
      <c r="C23" s="3">
        <f t="shared" si="2"/>
        <v>36816.35</v>
      </c>
      <c r="D23" s="4" t="str">
        <f t="shared" si="3"/>
        <v>vis</v>
      </c>
      <c r="E23" s="19">
        <f>VLOOKUP(C23,Active!C$21:E$973,3,FALSE)</f>
        <v>773.99864639625594</v>
      </c>
      <c r="F23" s="2" t="s">
        <v>52</v>
      </c>
      <c r="G23" s="4" t="str">
        <f t="shared" si="4"/>
        <v>36816.350</v>
      </c>
      <c r="H23" s="3">
        <f t="shared" si="5"/>
        <v>774</v>
      </c>
      <c r="I23" s="20" t="s">
        <v>77</v>
      </c>
      <c r="J23" s="21" t="s">
        <v>78</v>
      </c>
      <c r="K23" s="20">
        <v>774</v>
      </c>
      <c r="L23" s="20" t="s">
        <v>54</v>
      </c>
      <c r="M23" s="21" t="s">
        <v>58</v>
      </c>
      <c r="N23" s="21"/>
      <c r="O23" s="22" t="s">
        <v>59</v>
      </c>
      <c r="P23" s="22" t="s">
        <v>60</v>
      </c>
    </row>
    <row r="24" spans="1:16" ht="12.75" customHeight="1" thickBot="1" x14ac:dyDescent="0.25">
      <c r="A24" s="3" t="str">
        <f t="shared" si="0"/>
        <v> AHSB 6.4.314 </v>
      </c>
      <c r="B24" s="2" t="str">
        <f t="shared" si="1"/>
        <v>I</v>
      </c>
      <c r="C24" s="3">
        <f t="shared" si="2"/>
        <v>36818.5</v>
      </c>
      <c r="D24" s="4" t="str">
        <f t="shared" si="3"/>
        <v>vis</v>
      </c>
      <c r="E24" s="19">
        <f>VLOOKUP(C24,Active!C$21:E$973,3,FALSE)</f>
        <v>775.00433028773125</v>
      </c>
      <c r="F24" s="2" t="s">
        <v>52</v>
      </c>
      <c r="G24" s="4" t="str">
        <f t="shared" si="4"/>
        <v>36818.500</v>
      </c>
      <c r="H24" s="3">
        <f t="shared" si="5"/>
        <v>775</v>
      </c>
      <c r="I24" s="20" t="s">
        <v>79</v>
      </c>
      <c r="J24" s="21" t="s">
        <v>80</v>
      </c>
      <c r="K24" s="20">
        <v>775</v>
      </c>
      <c r="L24" s="20" t="s">
        <v>81</v>
      </c>
      <c r="M24" s="21" t="s">
        <v>58</v>
      </c>
      <c r="N24" s="21"/>
      <c r="O24" s="22" t="s">
        <v>59</v>
      </c>
      <c r="P24" s="22" t="s">
        <v>60</v>
      </c>
    </row>
    <row r="25" spans="1:16" ht="12.75" customHeight="1" thickBot="1" x14ac:dyDescent="0.25">
      <c r="A25" s="3" t="str">
        <f t="shared" si="0"/>
        <v> AHSB 6.4.314 </v>
      </c>
      <c r="B25" s="2" t="str">
        <f t="shared" si="1"/>
        <v>I</v>
      </c>
      <c r="C25" s="3">
        <f t="shared" si="2"/>
        <v>36846.294999999998</v>
      </c>
      <c r="D25" s="4" t="str">
        <f t="shared" si="3"/>
        <v>vis</v>
      </c>
      <c r="E25" s="19">
        <f>VLOOKUP(C25,Active!C$21:E$973,3,FALSE)</f>
        <v>788.00571808472466</v>
      </c>
      <c r="F25" s="2" t="s">
        <v>52</v>
      </c>
      <c r="G25" s="4" t="str">
        <f t="shared" si="4"/>
        <v>36846.295</v>
      </c>
      <c r="H25" s="3">
        <f t="shared" si="5"/>
        <v>788</v>
      </c>
      <c r="I25" s="20" t="s">
        <v>82</v>
      </c>
      <c r="J25" s="21" t="s">
        <v>83</v>
      </c>
      <c r="K25" s="20">
        <v>788</v>
      </c>
      <c r="L25" s="20" t="s">
        <v>84</v>
      </c>
      <c r="M25" s="21" t="s">
        <v>58</v>
      </c>
      <c r="N25" s="21"/>
      <c r="O25" s="22" t="s">
        <v>59</v>
      </c>
      <c r="P25" s="22" t="s">
        <v>60</v>
      </c>
    </row>
    <row r="26" spans="1:16" ht="12.75" customHeight="1" thickBot="1" x14ac:dyDescent="0.25">
      <c r="A26" s="3" t="str">
        <f t="shared" si="0"/>
        <v> AHSB 6.4.314 </v>
      </c>
      <c r="B26" s="2" t="str">
        <f t="shared" si="1"/>
        <v>I</v>
      </c>
      <c r="C26" s="3">
        <f t="shared" si="2"/>
        <v>36848.43</v>
      </c>
      <c r="D26" s="4" t="str">
        <f t="shared" si="3"/>
        <v>vis</v>
      </c>
      <c r="E26" s="19">
        <f>VLOOKUP(C26,Active!C$21:E$973,3,FALSE)</f>
        <v>789.00438557695736</v>
      </c>
      <c r="F26" s="2" t="s">
        <v>52</v>
      </c>
      <c r="G26" s="4" t="str">
        <f t="shared" si="4"/>
        <v>36848.430</v>
      </c>
      <c r="H26" s="3">
        <f t="shared" si="5"/>
        <v>789</v>
      </c>
      <c r="I26" s="20" t="s">
        <v>85</v>
      </c>
      <c r="J26" s="21" t="s">
        <v>86</v>
      </c>
      <c r="K26" s="20">
        <v>789</v>
      </c>
      <c r="L26" s="20" t="s">
        <v>81</v>
      </c>
      <c r="M26" s="21" t="s">
        <v>58</v>
      </c>
      <c r="N26" s="21"/>
      <c r="O26" s="22" t="s">
        <v>59</v>
      </c>
      <c r="P26" s="22" t="s">
        <v>60</v>
      </c>
    </row>
    <row r="27" spans="1:16" ht="12.75" customHeight="1" thickBot="1" x14ac:dyDescent="0.25">
      <c r="A27" s="3" t="str">
        <f t="shared" si="0"/>
        <v>BAVM 203 </v>
      </c>
      <c r="B27" s="2" t="str">
        <f t="shared" si="1"/>
        <v>II</v>
      </c>
      <c r="C27" s="3">
        <f t="shared" si="2"/>
        <v>54685.512499999997</v>
      </c>
      <c r="D27" s="4" t="str">
        <f t="shared" si="3"/>
        <v>vis</v>
      </c>
      <c r="E27" s="19">
        <f>VLOOKUP(C27,Active!C$21:E$973,3,FALSE)</f>
        <v>9132.477195416117</v>
      </c>
      <c r="F27" s="2" t="s">
        <v>52</v>
      </c>
      <c r="G27" s="4" t="str">
        <f t="shared" si="4"/>
        <v>54685.5125</v>
      </c>
      <c r="H27" s="3">
        <f t="shared" si="5"/>
        <v>9132.5</v>
      </c>
      <c r="I27" s="20" t="s">
        <v>103</v>
      </c>
      <c r="J27" s="21" t="s">
        <v>104</v>
      </c>
      <c r="K27" s="20" t="s">
        <v>105</v>
      </c>
      <c r="L27" s="20" t="s">
        <v>106</v>
      </c>
      <c r="M27" s="21" t="s">
        <v>90</v>
      </c>
      <c r="N27" s="21" t="s">
        <v>91</v>
      </c>
      <c r="O27" s="22" t="s">
        <v>92</v>
      </c>
      <c r="P27" s="23" t="s">
        <v>107</v>
      </c>
    </row>
    <row r="28" spans="1:16" x14ac:dyDescent="0.2">
      <c r="B28" s="2"/>
      <c r="E28" s="19"/>
      <c r="F28" s="2"/>
    </row>
    <row r="29" spans="1:16" x14ac:dyDescent="0.2">
      <c r="B29" s="2"/>
      <c r="E29" s="19"/>
      <c r="F29" s="2"/>
    </row>
    <row r="30" spans="1:16" x14ac:dyDescent="0.2">
      <c r="B30" s="2"/>
      <c r="E30" s="19"/>
      <c r="F30" s="2"/>
    </row>
    <row r="31" spans="1:16" x14ac:dyDescent="0.2">
      <c r="B31" s="2"/>
      <c r="E31" s="19"/>
      <c r="F31" s="2"/>
    </row>
    <row r="32" spans="1:16" x14ac:dyDescent="0.2">
      <c r="B32" s="2"/>
      <c r="E32" s="19"/>
      <c r="F32" s="2"/>
    </row>
    <row r="33" spans="2:6" x14ac:dyDescent="0.2">
      <c r="B33" s="2"/>
      <c r="E33" s="19"/>
      <c r="F33" s="2"/>
    </row>
    <row r="34" spans="2:6" x14ac:dyDescent="0.2">
      <c r="B34" s="2"/>
      <c r="E34" s="19"/>
      <c r="F34" s="2"/>
    </row>
    <row r="35" spans="2:6" x14ac:dyDescent="0.2">
      <c r="B35" s="2"/>
      <c r="E35" s="19"/>
      <c r="F35" s="2"/>
    </row>
    <row r="36" spans="2:6" x14ac:dyDescent="0.2">
      <c r="B36" s="2"/>
      <c r="E36" s="19"/>
      <c r="F36" s="2"/>
    </row>
    <row r="37" spans="2:6" x14ac:dyDescent="0.2">
      <c r="B37" s="2"/>
      <c r="E37" s="19"/>
      <c r="F37" s="2"/>
    </row>
    <row r="38" spans="2:6" x14ac:dyDescent="0.2">
      <c r="B38" s="2"/>
      <c r="E38" s="19"/>
      <c r="F38" s="2"/>
    </row>
    <row r="39" spans="2:6" x14ac:dyDescent="0.2">
      <c r="B39" s="2"/>
      <c r="E39" s="19"/>
      <c r="F39" s="2"/>
    </row>
    <row r="40" spans="2:6" x14ac:dyDescent="0.2">
      <c r="B40" s="2"/>
      <c r="E40" s="19"/>
      <c r="F40" s="2"/>
    </row>
    <row r="41" spans="2:6" x14ac:dyDescent="0.2">
      <c r="B41" s="2"/>
      <c r="E41" s="19"/>
      <c r="F41" s="2"/>
    </row>
    <row r="42" spans="2:6" x14ac:dyDescent="0.2">
      <c r="B42" s="2"/>
      <c r="E42" s="19"/>
      <c r="F42" s="2"/>
    </row>
    <row r="43" spans="2:6" x14ac:dyDescent="0.2">
      <c r="B43" s="2"/>
      <c r="E43" s="19"/>
      <c r="F43" s="2"/>
    </row>
    <row r="44" spans="2:6" x14ac:dyDescent="0.2">
      <c r="B44" s="2"/>
      <c r="E44" s="19"/>
      <c r="F44" s="2"/>
    </row>
    <row r="45" spans="2:6" x14ac:dyDescent="0.2">
      <c r="B45" s="2"/>
      <c r="E45" s="19"/>
      <c r="F45" s="2"/>
    </row>
    <row r="46" spans="2:6" x14ac:dyDescent="0.2">
      <c r="B46" s="2"/>
      <c r="E46" s="19"/>
      <c r="F46" s="2"/>
    </row>
    <row r="47" spans="2:6" x14ac:dyDescent="0.2">
      <c r="B47" s="2"/>
      <c r="E47" s="19"/>
      <c r="F47" s="2"/>
    </row>
    <row r="48" spans="2:6" x14ac:dyDescent="0.2">
      <c r="B48" s="2"/>
      <c r="E48" s="19"/>
      <c r="F48" s="2"/>
    </row>
    <row r="49" spans="2:6" x14ac:dyDescent="0.2">
      <c r="B49" s="2"/>
      <c r="E49" s="19"/>
      <c r="F49" s="2"/>
    </row>
    <row r="50" spans="2:6" x14ac:dyDescent="0.2">
      <c r="B50" s="2"/>
      <c r="E50" s="19"/>
      <c r="F50" s="2"/>
    </row>
    <row r="51" spans="2:6" x14ac:dyDescent="0.2">
      <c r="B51" s="2"/>
      <c r="E51" s="19"/>
      <c r="F51" s="2"/>
    </row>
    <row r="52" spans="2:6" x14ac:dyDescent="0.2">
      <c r="B52" s="2"/>
      <c r="E52" s="19"/>
      <c r="F52" s="2"/>
    </row>
    <row r="53" spans="2:6" x14ac:dyDescent="0.2">
      <c r="B53" s="2"/>
      <c r="E53" s="19"/>
      <c r="F53" s="2"/>
    </row>
    <row r="54" spans="2:6" x14ac:dyDescent="0.2">
      <c r="B54" s="2"/>
      <c r="E54" s="19"/>
      <c r="F54" s="2"/>
    </row>
    <row r="55" spans="2:6" x14ac:dyDescent="0.2">
      <c r="B55" s="2"/>
      <c r="E55" s="19"/>
      <c r="F55" s="2"/>
    </row>
    <row r="56" spans="2:6" x14ac:dyDescent="0.2">
      <c r="B56" s="2"/>
      <c r="E56" s="19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</sheetData>
  <phoneticPr fontId="7" type="noConversion"/>
  <hyperlinks>
    <hyperlink ref="P11" r:id="rId1" display="http://www.bav-astro.de/sfs/BAVM_link.php?BAVMnr=178" xr:uid="{00000000-0004-0000-0100-000000000000}"/>
    <hyperlink ref="P12" r:id="rId2" display="http://www.bav-astro.de/sfs/BAVM_link.php?BAVMnr=178" xr:uid="{00000000-0004-0000-0100-000001000000}"/>
    <hyperlink ref="P13" r:id="rId3" display="http://www.bav-astro.de/sfs/BAVM_link.php?BAVMnr=178" xr:uid="{00000000-0004-0000-0100-000002000000}"/>
    <hyperlink ref="P27" r:id="rId4" display="http://www.bav-astro.de/sfs/BAVM_link.php?BAVMnr=203" xr:uid="{00000000-0004-0000-0100-000003000000}"/>
    <hyperlink ref="P14" r:id="rId5" display="http://www.bav-astro.de/sfs/BAVM_link.php?BAVMnr=214" xr:uid="{00000000-0004-0000-0100-000004000000}"/>
    <hyperlink ref="P15" r:id="rId6" display="http://www.bav-astro.de/sfs/BAVM_link.php?BAVMnr=215" xr:uid="{00000000-0004-0000-0100-00000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2024-07-27T08:12:53Z</dcterms:modified>
</cp:coreProperties>
</file>